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tabRatio="504" firstSheet="11" activeTab="18"/>
  </bookViews>
  <sheets>
    <sheet name="1.08.12. Лесомат. ФПС" sheetId="1" state="hidden" r:id="rId1"/>
    <sheet name="хв" sheetId="2" r:id="rId2"/>
    <sheet name="мл" sheetId="3" r:id="rId3"/>
    <sheet name="тл" sheetId="4" r:id="rId4"/>
    <sheet name="дрова" sheetId="5" r:id="rId5"/>
    <sheet name="лесосека" sheetId="6" r:id="rId6"/>
    <sheet name="услуга" sheetId="7" r:id="rId7"/>
    <sheet name="услуга1" sheetId="8" r:id="rId8"/>
    <sheet name="услуги" sheetId="9" r:id="rId9"/>
    <sheet name="валка" sheetId="10" r:id="rId10"/>
    <sheet name="пиломатериал" sheetId="11" r:id="rId11"/>
    <sheet name="сеянцы" sheetId="12" r:id="rId12"/>
    <sheet name="сеянцы зак" sheetId="13" r:id="rId13"/>
    <sheet name="древ.раст." sheetId="14" r:id="rId14"/>
    <sheet name="семена" sheetId="15" r:id="rId15"/>
    <sheet name="кустарники" sheetId="16" r:id="rId16"/>
    <sheet name="саженцы" sheetId="17" r:id="rId17"/>
    <sheet name="сок" sheetId="18" r:id="rId18"/>
    <sheet name="елочки" sheetId="19" r:id="rId19"/>
    <sheet name="рябина" sheetId="20" r:id="rId20"/>
    <sheet name="веник" sheetId="21" r:id="rId21"/>
    <sheet name="бельчо" sheetId="22" r:id="rId22"/>
    <sheet name="ветви" sheetId="23" r:id="rId23"/>
    <sheet name="щепа" sheetId="24" r:id="rId24"/>
    <sheet name="Лист3" sheetId="25" r:id="rId25"/>
    <sheet name="дрова 1" sheetId="26" r:id="rId26"/>
    <sheet name="Лист5" sheetId="27" r:id="rId27"/>
  </sheets>
  <definedNames>
    <definedName name="_xlnm.Print_Area" localSheetId="0">'1.08.12. Лесомат. ФПС'!$A$1:$F$156</definedName>
    <definedName name="_xlnm.Print_Area" localSheetId="21">'бельчо'!$A$1:$F$26</definedName>
    <definedName name="_xlnm.Print_Area" localSheetId="18">'елочки'!$A$1:$X$30</definedName>
    <definedName name="_xlnm.Print_Area" localSheetId="2">'мл'!$A$1:$G$56</definedName>
    <definedName name="_xlnm.Print_Area" localSheetId="16">'саженцы'!$A$1:$E$54</definedName>
    <definedName name="_xlnm.Print_Area" localSheetId="3">'тл'!$A$1:$G$45</definedName>
    <definedName name="_xlnm.Print_Area" localSheetId="1">'хв'!$A$1:$G$53</definedName>
  </definedNames>
  <calcPr fullCalcOnLoad="1"/>
</workbook>
</file>

<file path=xl/sharedStrings.xml><?xml version="1.0" encoding="utf-8"?>
<sst xmlns="http://schemas.openxmlformats.org/spreadsheetml/2006/main" count="1137" uniqueCount="455">
  <si>
    <t>отпускные цены на лесоматериалы круглые (за исключением дров),</t>
  </si>
  <si>
    <t>I. ЛЕСОМАТЕРИАЛЫ КРУГЛЫЕ ХВОЙНЫХ ПОРОД (СТБ 1711-2007 ГОСТ 17462-84)</t>
  </si>
  <si>
    <t>1. Лесоматериалы для распиловки и строгания</t>
  </si>
  <si>
    <t>Длина, м</t>
  </si>
  <si>
    <t>Сорт</t>
  </si>
  <si>
    <t>Толщина, см</t>
  </si>
  <si>
    <t>Цена за 1 плотный куб. м, бел. руб., без НДС</t>
  </si>
  <si>
    <t>2,0-6,5</t>
  </si>
  <si>
    <t>2,0-6,0</t>
  </si>
  <si>
    <t>II. ЛЕСОМАТЕРИАЛЫ КРУГЛЫЕ БЕРЕЗОВОЙ И МЯГКОЛИСТВЕННЫХ ПОРОД</t>
  </si>
  <si>
    <t>(СТБ 1712-2007 ГОСТ 17462-84)</t>
  </si>
  <si>
    <t xml:space="preserve">Для выработки пиломатериалов и заготовок общего назначения (пиловочное бревно) </t>
  </si>
  <si>
    <t>1,3; 1,6 и кратные</t>
  </si>
  <si>
    <t>26 и более</t>
  </si>
  <si>
    <t>Прейскурант №1</t>
  </si>
  <si>
    <t>1 августа 2012 года</t>
  </si>
  <si>
    <t>10-13</t>
  </si>
  <si>
    <t>14-24</t>
  </si>
  <si>
    <t>14-18</t>
  </si>
  <si>
    <t>20-24</t>
  </si>
  <si>
    <t>14 и более</t>
  </si>
  <si>
    <t>16-24</t>
  </si>
  <si>
    <t>1</t>
  </si>
  <si>
    <t>2</t>
  </si>
  <si>
    <t>20% НДС</t>
  </si>
  <si>
    <r>
      <rPr>
        <i/>
        <sz val="11"/>
        <rFont val="Times New Roman"/>
        <family val="1"/>
      </rPr>
      <t>поставляемые на условиях</t>
    </r>
    <r>
      <rPr>
        <b/>
        <i/>
        <sz val="11"/>
        <rFont val="Times New Roman"/>
        <family val="1"/>
      </rPr>
      <t xml:space="preserve"> </t>
    </r>
    <r>
      <rPr>
        <b/>
        <i/>
        <u val="double"/>
        <sz val="12"/>
        <rFont val="Times New Roman"/>
        <family val="1"/>
      </rPr>
      <t>франко-промежуточный лесосклад</t>
    </r>
  </si>
  <si>
    <t xml:space="preserve">Для шпал железных дорог широкой колеи (шпальное бревно) </t>
  </si>
  <si>
    <t>(сосна, ель, пихта, лиственница)</t>
  </si>
  <si>
    <t>2,75; 5,5</t>
  </si>
  <si>
    <t>3</t>
  </si>
  <si>
    <t>2. Лесоматериалы для выработки оцилиндрованных изделий</t>
  </si>
  <si>
    <t>Для выработки пиломатериалов и заготовок общего назначения (пиловочное бревно)          (сосна, ель, лиственница, пихта)</t>
  </si>
  <si>
    <t>6-18</t>
  </si>
  <si>
    <t>3. Лесоматериалы для выработки шпона</t>
  </si>
  <si>
    <t>Для выработки строганого шпона (сосна, лиственница)</t>
  </si>
  <si>
    <t>Для выработки изделий различного назначения (сосна, ель)</t>
  </si>
  <si>
    <t>4. Лесоматериалы для выработки целлюлозы и древесной массы (балансы)</t>
  </si>
  <si>
    <t>0,75; 1; 1,1; 1,2; 1,25; 2 и кратные</t>
  </si>
  <si>
    <t>6-24</t>
  </si>
  <si>
    <t>3,0-6,5</t>
  </si>
  <si>
    <t>6-13</t>
  </si>
  <si>
    <t>5. Лесоматериалы для использования в круглом виде</t>
  </si>
  <si>
    <t>Для вспомогательных и временных построек различного назначения (подтоварник)</t>
  </si>
  <si>
    <t>(береза, ольха черная, ильмовые)</t>
  </si>
  <si>
    <t>(осина, ольха серая, тополь)</t>
  </si>
  <si>
    <t>2. Лесоматериалы для выработки  шпона</t>
  </si>
  <si>
    <t>Для выработки строганого шпона (береза и мягколиственные породы)</t>
  </si>
  <si>
    <t>24 и более</t>
  </si>
  <si>
    <t>Для выработки лущеного шпона (фанерное бревно) (береза, липа, ольха)</t>
  </si>
  <si>
    <t>(осина)</t>
  </si>
  <si>
    <t>Для производства спичек (спичечное бревно)</t>
  </si>
  <si>
    <t>(осина, тополь,  липа, ольха)</t>
  </si>
  <si>
    <t>не менее 2,0</t>
  </si>
  <si>
    <t>3. Лесоматериалы для выработки целлюлозы и древесной массы (балансы)</t>
  </si>
  <si>
    <t>(береза и все мягколиственные породы)</t>
  </si>
  <si>
    <t>6-40</t>
  </si>
  <si>
    <t>0,75; 1; 1,1; 1,2; 1,25; 2 и кратные им</t>
  </si>
  <si>
    <t>4. Лесоматериалы для использования в круглом виде</t>
  </si>
  <si>
    <t>8-11</t>
  </si>
  <si>
    <t>не менее 3,0</t>
  </si>
  <si>
    <t>(дуб, ясень, клен, граб)</t>
  </si>
  <si>
    <t>1,0-6,0</t>
  </si>
  <si>
    <t>26-34</t>
  </si>
  <si>
    <t>36 и более</t>
  </si>
  <si>
    <t>2. Лесоматериалы для выработки шпона</t>
  </si>
  <si>
    <t>не менее 1,5</t>
  </si>
  <si>
    <t>24-34</t>
  </si>
  <si>
    <t>Для выработки строганого шпона (дуб, ясень, клен, граб)</t>
  </si>
  <si>
    <t>3. Лесоматериалы для использования в круглом виде</t>
  </si>
  <si>
    <t>III. ЛЕСОМАТЕРИАЛЫ КРУГЛЫЕ ТВЕРДОЛИСТВЕННЫХ ПОРОД</t>
  </si>
  <si>
    <t>IV. ЖЕРДИ</t>
  </si>
  <si>
    <t>ТУ РБ 100195503.010-2000</t>
  </si>
  <si>
    <t>3-5</t>
  </si>
  <si>
    <t>3-7</t>
  </si>
  <si>
    <t>Порода</t>
  </si>
  <si>
    <t>Сосна, ель, лиственница, пихта</t>
  </si>
  <si>
    <t>Береза, ольха черная, ильмовые</t>
  </si>
  <si>
    <t>Осина, ольха серая, тополь</t>
  </si>
  <si>
    <t>Дуб, ясень, клен, граб</t>
  </si>
  <si>
    <t>V. СЫРЬЕ ДРЕВЕСНОЕ ТЕХНОЛОГИЧЕСКОЕ</t>
  </si>
  <si>
    <t>ГОСТ 4106-74</t>
  </si>
  <si>
    <t>0,5-6,5</t>
  </si>
  <si>
    <t>от 0,4</t>
  </si>
  <si>
    <t>VI. СЫРЬЕ ДРЕВЕСНОЕ ДЛЯ ВЫРАБОТКИ ДУБИЛЬНЫХ ЭКСТРАКТОВ</t>
  </si>
  <si>
    <t>не менее 2,5</t>
  </si>
  <si>
    <t>ТУ РБ 100195503.010-2001</t>
  </si>
  <si>
    <t>отпускных цен на лесоматериалы круглые (за исключением дров)</t>
  </si>
  <si>
    <t xml:space="preserve"> ЛЕСОМАТЕРИАЛЫ КРУГЛЫЕ БЕРЕЗОВОЙ И МЯГКОЛИСТВЕННЫХ ПОРОД</t>
  </si>
  <si>
    <t>ЛЕСОМАТЕРИАЛЫ КРУГЛЫЕ ТВЕРДОЛИСТВЕННЫХ ПОРОД</t>
  </si>
  <si>
    <t>(СТБ 1711-2007 ГОСТ 17462-84)</t>
  </si>
  <si>
    <t xml:space="preserve"> ЛЕСОМАТЕРИАЛЫ КРУГЛЫЕ ХВОЙНЫХ ПОРОД</t>
  </si>
  <si>
    <t>ФПС</t>
  </si>
  <si>
    <t>ФНС</t>
  </si>
  <si>
    <t>ФВСОтправления</t>
  </si>
  <si>
    <t>для выработки изделий различного назначения (сосна, ель)</t>
  </si>
  <si>
    <t>для выработки строганого шпона (сосна, лиственница)</t>
  </si>
  <si>
    <t xml:space="preserve">для выработки пиломатериалов и заготовок общего назначения (пиловочное бревно) </t>
  </si>
  <si>
    <t>для производства спичек (спичечное бревно)</t>
  </si>
  <si>
    <t>для вспомогательных и временных построек различного назначения (подтоварник)</t>
  </si>
  <si>
    <t>для выработки строганого шпона (дуб, ясень, клен, граб)</t>
  </si>
  <si>
    <t>ТУ РБ 100195503.014-2003</t>
  </si>
  <si>
    <t>Цены</t>
  </si>
  <si>
    <t>ДРОВА</t>
  </si>
  <si>
    <t>Длиной 2 м, толщиной от 3 см</t>
  </si>
  <si>
    <t>№ п/п</t>
  </si>
  <si>
    <t>Влажность, %</t>
  </si>
  <si>
    <t>Цена за 1 плотный куб.м, бел.руб. без НДС</t>
  </si>
  <si>
    <t>Франко-верхний лесосклад</t>
  </si>
  <si>
    <t>Франко-промежуточны лесосклад</t>
  </si>
  <si>
    <t>Франко-вагон (судно) станция (пристань) отправления</t>
  </si>
  <si>
    <t>Сосна, ольха</t>
  </si>
  <si>
    <t>Сухие (до 25 включительно)</t>
  </si>
  <si>
    <t>Сырые ( свыше 25 )</t>
  </si>
  <si>
    <t>Береза, бук, ясень, граб, ильм, вяз, клен, дуб, лиственница</t>
  </si>
  <si>
    <t>Ель, кедр, пихта, осина, липа, тополь, ива</t>
  </si>
  <si>
    <t>на дрова в заготовленном виде  заготовляемые при проведении рубок главного пользования, рубок ухода за лесом, санитарных и прочих рубок, других лесохозяйственных работ и реализуемые на условиях франко-верхний лесосклад. франко-помежуточный лесосклад, франко-нижний лесосклад (склад предприятия), франко-вагон (судно) станция (пристань) отправления</t>
  </si>
  <si>
    <t>СТБ 1510-2012</t>
  </si>
  <si>
    <t>Приложение 2</t>
  </si>
  <si>
    <t xml:space="preserve">к решению </t>
  </si>
  <si>
    <t>Гомельского областного</t>
  </si>
  <si>
    <t>исполнительного комитета</t>
  </si>
  <si>
    <t>04.01.2016 №2</t>
  </si>
  <si>
    <t xml:space="preserve">на дрова, реализуемые населению государственными лесохозяйственными учреждениями и другими организациями для отопления на условиях франко-лесосека  </t>
  </si>
  <si>
    <t>ДЛЯ НАСЕЛЕНИЯ</t>
  </si>
  <si>
    <t>Наименование породы дров</t>
  </si>
  <si>
    <t>Единица измерения</t>
  </si>
  <si>
    <t>Розничная цена, рублей</t>
  </si>
  <si>
    <t>1. На условиях франко-лесосека</t>
  </si>
  <si>
    <t>Дрова смешанных пород длиной 2 метра</t>
  </si>
  <si>
    <t>1 плотный кубический метр</t>
  </si>
  <si>
    <t>Дрова смешанных пород длиной 1 метр</t>
  </si>
  <si>
    <t>Дрова смешанных пород длиной  менее 1 метра</t>
  </si>
  <si>
    <t>Цены на транспортно-эксплуатационные услуги</t>
  </si>
  <si>
    <t>Наименование работ, услуг</t>
  </si>
  <si>
    <t>Ед. изм.</t>
  </si>
  <si>
    <t>Отпускная цена  руб. без НДС</t>
  </si>
  <si>
    <t>МАЗ сортиментовоз  с прицепом</t>
  </si>
  <si>
    <t>1 м3</t>
  </si>
  <si>
    <t>1 км</t>
  </si>
  <si>
    <t>1 час</t>
  </si>
  <si>
    <t>1 ткм</t>
  </si>
  <si>
    <t>Автомобиль УАЗ</t>
  </si>
  <si>
    <t>Цены на погрузку, разгрузку древесины гидроманипуляторами</t>
  </si>
  <si>
    <t>Наименование</t>
  </si>
  <si>
    <t>ед. изм.</t>
  </si>
  <si>
    <t>Отрускная цена, руб. без НДС</t>
  </si>
  <si>
    <t>Погрузка гидроманипулятором установленным на МАЗ, длинна древесины 2,1-3,5 м</t>
  </si>
  <si>
    <t>м3</t>
  </si>
  <si>
    <t>Разгрузка гидроманипулятором установленным на МАЗ, длинна древесины 2,1-3,5 м</t>
  </si>
  <si>
    <t>Погрузка гидроманипулятором установленным на МАЗ, длинна древесины 4,6-6,5 м</t>
  </si>
  <si>
    <t>Разгрузка гидроманипулятором установленным на МАЗ, длинна древесины 4,6-6,5 м</t>
  </si>
  <si>
    <t>Погрузка гидроманипулятором установленным на МТЗ-82, длинна древесины 2,1-3,5 м</t>
  </si>
  <si>
    <t>Разгрузка гидроманипулятором установленным на МТЗ-82, длинна древесины 2,1-3,5 м</t>
  </si>
  <si>
    <t>Погрузка гидроманипулятором установленным на МТЗ-82, длинна древесины 4,6-6,5 м</t>
  </si>
  <si>
    <t>Разгрузка гидроманипулятором установленным на МТЗ-82, длинна древесины 4,6-6,5 м</t>
  </si>
  <si>
    <t>Погрузка вагона гидроманипулятором установленным на МАЗ</t>
  </si>
  <si>
    <t>Цены на услуги по валке, раскряжевке, трелевке древесины</t>
  </si>
  <si>
    <t>Валка древесины</t>
  </si>
  <si>
    <t>Раскряжевка древесины</t>
  </si>
  <si>
    <t>Механизированная трелевка</t>
  </si>
  <si>
    <t>Конная трелевка</t>
  </si>
  <si>
    <t>Гужевой транспорт</t>
  </si>
  <si>
    <t>Отпускные цены на пиломатериалы хвойных пород СТБ 1713-2007  отпускаются на условиях франко-склад поставщика</t>
  </si>
  <si>
    <t>сорт</t>
  </si>
  <si>
    <t>толщина</t>
  </si>
  <si>
    <t>отпускная цена за 1 м3 в руб. без НДС</t>
  </si>
  <si>
    <t>необрезные 50 мм и более</t>
  </si>
  <si>
    <t>Доски длинной 2,0-6,5 м</t>
  </si>
  <si>
    <t>16,19,22</t>
  </si>
  <si>
    <t>44 и более</t>
  </si>
  <si>
    <t>Бруски</t>
  </si>
  <si>
    <t>40-75</t>
  </si>
  <si>
    <t>Брус</t>
  </si>
  <si>
    <t>Двухкантный брус</t>
  </si>
  <si>
    <t>100-125</t>
  </si>
  <si>
    <t>150 и более</t>
  </si>
  <si>
    <t>обрезные</t>
  </si>
  <si>
    <t xml:space="preserve">необрезные </t>
  </si>
  <si>
    <t>Доски длинной 0,5-2,0 м</t>
  </si>
  <si>
    <t xml:space="preserve">Пиломатериалы твердых лиственных пород СТБ 1714-2007 </t>
  </si>
  <si>
    <t>Пиломатериалы березовых и мягколиственных пород СТБ 1714-2007</t>
  </si>
  <si>
    <t>80-100</t>
  </si>
  <si>
    <t xml:space="preserve">мягколиственных </t>
  </si>
  <si>
    <t>пород</t>
  </si>
  <si>
    <t>Отпускные цены на горбыль от пиломатериалов и заготовок</t>
  </si>
  <si>
    <t>Цена без НДС за 1 с/м</t>
  </si>
  <si>
    <t>Цена без НДС за 1 м3</t>
  </si>
  <si>
    <t>Обрезки от пиломатериалов и заготовок</t>
  </si>
  <si>
    <t>Толщиной до 20 мм</t>
  </si>
  <si>
    <t>Толщиной 20-40 мм</t>
  </si>
  <si>
    <t>Толщиной свыше 40 мм</t>
  </si>
  <si>
    <t>Отпускные цены на горбыль деловой хвойных и мягколиственных пород</t>
  </si>
  <si>
    <t>Длинной более 2 м, толщиной свыше 20 мм</t>
  </si>
  <si>
    <t>Длинной более 2 м, толщиной свыше 40 мм</t>
  </si>
  <si>
    <t>Распиловка древесины заказчика</t>
  </si>
  <si>
    <t>на пиломатериал необрезной</t>
  </si>
  <si>
    <t>на пиломатериал обрезной</t>
  </si>
  <si>
    <t>Метла березовая за 1 шт. без НДС</t>
  </si>
  <si>
    <t>ТУ РБ 00969296-007-98</t>
  </si>
  <si>
    <t>Отпускные цены за 1 шт. без НДС</t>
  </si>
  <si>
    <t>Метла березовая</t>
  </si>
  <si>
    <t>Цена без НДС за 1 плотный м3</t>
  </si>
  <si>
    <t>Опилки</t>
  </si>
  <si>
    <t>Прейскурант</t>
  </si>
  <si>
    <t>для выработки пиломатериалов и заготовок общего назначения (пиловочное бревно) (сосна, ель, лиственница, пихта)</t>
  </si>
  <si>
    <r>
      <t xml:space="preserve">для шпал железных дорог широкой колеи </t>
    </r>
    <r>
      <rPr>
        <b/>
        <u val="single"/>
        <sz val="14"/>
        <rFont val="Times New Roman"/>
        <family val="1"/>
      </rPr>
      <t xml:space="preserve">(шпальное бревно) </t>
    </r>
  </si>
  <si>
    <r>
      <t xml:space="preserve">2. Лесоматериалы для выработки </t>
    </r>
    <r>
      <rPr>
        <b/>
        <i/>
        <u val="single"/>
        <sz val="14"/>
        <rFont val="Times New Roman"/>
        <family val="1"/>
      </rPr>
      <t>оцилиндрованных изделий</t>
    </r>
  </si>
  <si>
    <r>
      <t xml:space="preserve">3. Лесоматериалы для выработки </t>
    </r>
    <r>
      <rPr>
        <b/>
        <i/>
        <u val="single"/>
        <sz val="14"/>
        <rFont val="Times New Roman"/>
        <family val="1"/>
      </rPr>
      <t>шпона</t>
    </r>
  </si>
  <si>
    <r>
      <t xml:space="preserve">4. Лесоматериалы для выработки целлюлозы и древесной массы </t>
    </r>
    <r>
      <rPr>
        <b/>
        <i/>
        <u val="single"/>
        <sz val="14"/>
        <rFont val="Times New Roman"/>
        <family val="1"/>
      </rPr>
      <t>(балансы)</t>
    </r>
  </si>
  <si>
    <r>
      <t>для вспомогательных и временных построек различного назначения</t>
    </r>
    <r>
      <rPr>
        <b/>
        <u val="single"/>
        <sz val="14"/>
        <rFont val="Times New Roman"/>
        <family val="1"/>
      </rPr>
      <t xml:space="preserve"> (подтоварник)</t>
    </r>
  </si>
  <si>
    <r>
      <t xml:space="preserve">6. Сырье древесное технологическое </t>
    </r>
    <r>
      <rPr>
        <b/>
        <i/>
        <u val="single"/>
        <sz val="14"/>
        <rFont val="Times New Roman"/>
        <family val="1"/>
      </rPr>
      <t>(техсырье)</t>
    </r>
  </si>
  <si>
    <t>Толщина см</t>
  </si>
  <si>
    <t>для выработки строганого шпона (береза и все мягколиственные породы)</t>
  </si>
  <si>
    <t>для выработки лущеного шпона (фанерное бревно) (береза, липа, ольха)</t>
  </si>
  <si>
    <t>обрезные 50-150мм</t>
  </si>
  <si>
    <t>32 и более</t>
  </si>
  <si>
    <t xml:space="preserve">Цены на посадочный материал, реализуемые с питомника </t>
  </si>
  <si>
    <t>Сеянцы древесных пород</t>
  </si>
  <si>
    <t>Сеянцы однолетние (листвиница)  1000 шт</t>
  </si>
  <si>
    <t>тыс.шт</t>
  </si>
  <si>
    <t>Сеянцы однолетние (ели)  1000 шт</t>
  </si>
  <si>
    <t>Сеянцы двухлетние (ели)  1000 шт</t>
  </si>
  <si>
    <t>Сеянцы трехлетние (ель) 1000 шт</t>
  </si>
  <si>
    <t>Сеянцы однолетние (сосна)  1000 шт</t>
  </si>
  <si>
    <t>Сеянцы двухлетние (сосна)  1000 шт</t>
  </si>
  <si>
    <t>Сеянцы однолетние (сосна) селекционные  1000 шт</t>
  </si>
  <si>
    <t>Сенцы однолетние (липа) за 1000 шт</t>
  </si>
  <si>
    <t>Сеянцы однолетние (дуб красный)  1000 шт</t>
  </si>
  <si>
    <t>Сеянцы трехлетние (дуб черешчатый) 1000 шт</t>
  </si>
  <si>
    <t>Сенцы однолетние (береза)  1000 шт</t>
  </si>
  <si>
    <t>Сеянцы однолетние (клен остролистный)  1000 шт</t>
  </si>
  <si>
    <t>Сеянцы однолетние (ясень)  1000 шт</t>
  </si>
  <si>
    <t>Сеянцы одна, двухлетние (каштан)  1000 шт</t>
  </si>
  <si>
    <t>Сеянцы одналетние (аморфа кустариниковая) 1000 шт</t>
  </si>
  <si>
    <t>Сеянцы ели с закрытой корневой системой</t>
  </si>
  <si>
    <t>шт</t>
  </si>
  <si>
    <t>Сеянцы дуба с закрытой корневой системой</t>
  </si>
  <si>
    <t>Сеянцы с закрытой корневой системой в касетах</t>
  </si>
  <si>
    <t>Древесные растения</t>
  </si>
  <si>
    <t>Акация белая</t>
  </si>
  <si>
    <t>Береза до 1 м</t>
  </si>
  <si>
    <t>Береза до 2 м</t>
  </si>
  <si>
    <t>Бархат амурский</t>
  </si>
  <si>
    <t>Дуб красный 2 м</t>
  </si>
  <si>
    <t>Дуб красный 3 м</t>
  </si>
  <si>
    <t>Ель канадская до 1 м</t>
  </si>
  <si>
    <t>Ель калючая до 0,5 м</t>
  </si>
  <si>
    <t>Ель калючая до 1,5 м</t>
  </si>
  <si>
    <t>Ель калючая до 2,5 м</t>
  </si>
  <si>
    <t>Ель обыкновенная до 0,5 м</t>
  </si>
  <si>
    <t>Ель обыкновенная до 3,0 м</t>
  </si>
  <si>
    <t>Ива плакучая до 0,5 м</t>
  </si>
  <si>
    <t>Ива плакучая до 2,0 м</t>
  </si>
  <si>
    <t>Ива остролистная до 0,5 м</t>
  </si>
  <si>
    <t>Ива остролистная до 2,0 м</t>
  </si>
  <si>
    <t>Каштан до 1,5 м</t>
  </si>
  <si>
    <t>Клен до 1 м</t>
  </si>
  <si>
    <t>Липа крупнолистная до 0,5 м</t>
  </si>
  <si>
    <t>Липа крупнолистная до 1,5 м</t>
  </si>
  <si>
    <t>Лиственница до 2,5 м</t>
  </si>
  <si>
    <t>Орех грецкий до 0,5 м</t>
  </si>
  <si>
    <t>Рябина обыкновенная до 1,5 м</t>
  </si>
  <si>
    <t>Сосна до 1 м</t>
  </si>
  <si>
    <t>Сосна крымская до 1 м</t>
  </si>
  <si>
    <t>Туя западная до 0,5 м</t>
  </si>
  <si>
    <t>Туя шаровидная до 1,5 м</t>
  </si>
  <si>
    <t>Туя шаровидная до 0,5 м</t>
  </si>
  <si>
    <t>Ясень обыкновенный до 1 м</t>
  </si>
  <si>
    <t>Кустарники</t>
  </si>
  <si>
    <t>Акация желтая до 0,5 м</t>
  </si>
  <si>
    <t>Айва японская до 1 м</t>
  </si>
  <si>
    <t>Арония черноплодная до 0,5 м</t>
  </si>
  <si>
    <t>Арония черноплодная до 1,5 м</t>
  </si>
  <si>
    <t>Аморфа кустарниковая</t>
  </si>
  <si>
    <t>Барбарис обыкновенный до 1 м</t>
  </si>
  <si>
    <t>Барбарис Тумберга до 1 м</t>
  </si>
  <si>
    <t>Бересклет</t>
  </si>
  <si>
    <t>Боярышник</t>
  </si>
  <si>
    <t>Бобовник до 1 м</t>
  </si>
  <si>
    <t>Бузина черная</t>
  </si>
  <si>
    <t>Вейгела гибридная</t>
  </si>
  <si>
    <t>Войлочная вишня</t>
  </si>
  <si>
    <t>Гортензия</t>
  </si>
  <si>
    <t>Дейция шершавая</t>
  </si>
  <si>
    <t>Дерн крававо-красный до 1 м</t>
  </si>
  <si>
    <t>Жимолость покрывающая</t>
  </si>
  <si>
    <t>Ива пурпурная до 0,5 м</t>
  </si>
  <si>
    <t>Ива пурпурная до 2,0 м</t>
  </si>
  <si>
    <t>Калина обыкновенная до 0,5 м</t>
  </si>
  <si>
    <t>Кизильник блестящий</t>
  </si>
  <si>
    <t>Магония подуболистная до 1 м</t>
  </si>
  <si>
    <t>Можжевельник обыкновенный до 0,5 м</t>
  </si>
  <si>
    <t>Можжевельник казацкий до 0,5 м</t>
  </si>
  <si>
    <t>Сирень до 0,5 м</t>
  </si>
  <si>
    <t>Спирея японская до 1 м</t>
  </si>
  <si>
    <t>Форзиция до 0,5 м</t>
  </si>
  <si>
    <t>Форзиция до 2,0 м</t>
  </si>
  <si>
    <t>Чай Курильский</t>
  </si>
  <si>
    <t>Чубушник до 0,5 м</t>
  </si>
  <si>
    <t>Шиповник до 0,5 м</t>
  </si>
  <si>
    <t>Семена</t>
  </si>
  <si>
    <t>Семена сосны (х-т)</t>
  </si>
  <si>
    <t>кг</t>
  </si>
  <si>
    <t>Семена сосны (б-т)</t>
  </si>
  <si>
    <t>Саженцы с закрытой корневой системой</t>
  </si>
  <si>
    <t>Барбарис обыкновенный до 0,5 м</t>
  </si>
  <si>
    <t>Вейгела до 1м</t>
  </si>
  <si>
    <t>Дерн белый да 1,5 м</t>
  </si>
  <si>
    <t>Ива плакучая до 1м</t>
  </si>
  <si>
    <t xml:space="preserve"> </t>
  </si>
  <si>
    <t>Магония подуболистная до 0,5 м</t>
  </si>
  <si>
    <t>Спирея  до 1 м</t>
  </si>
  <si>
    <t>Туя западная Смаракт до 0,5 м</t>
  </si>
  <si>
    <t>Туя Реенское золото до 0,5 м</t>
  </si>
  <si>
    <t>Форзиция до 1 м</t>
  </si>
  <si>
    <t>Цены на сок березовый</t>
  </si>
  <si>
    <t>Сок березовый ТУ РБ 00969296.002-97</t>
  </si>
  <si>
    <t>1 литр</t>
  </si>
  <si>
    <t>1 тонна</t>
  </si>
  <si>
    <t>Цены на деревья новогодние реализуемые на условиях франко-склад лесничества</t>
  </si>
  <si>
    <t>Ед.изм.</t>
  </si>
  <si>
    <t>Отпускная цена (тариф) руб. без НДС</t>
  </si>
  <si>
    <t xml:space="preserve">Деревья новогодние </t>
  </si>
  <si>
    <t>1 шт</t>
  </si>
  <si>
    <t>Длина до 1 м</t>
  </si>
  <si>
    <t>Длина 1-2 м</t>
  </si>
  <si>
    <t>Длина 2-3 м</t>
  </si>
  <si>
    <t>Длина 3-4 м</t>
  </si>
  <si>
    <t>Длина 4-5 м</t>
  </si>
  <si>
    <t>Длина 5-8 м</t>
  </si>
  <si>
    <t>Длина 8-10 м</t>
  </si>
  <si>
    <t>Длина 10-12 м</t>
  </si>
  <si>
    <t>Длина 12-15 м</t>
  </si>
  <si>
    <t>Длина 15-20 м</t>
  </si>
  <si>
    <t>Свыше  20 м</t>
  </si>
  <si>
    <t>Ветви хвойные</t>
  </si>
  <si>
    <t>скл.м3</t>
  </si>
  <si>
    <t>Цены на рябину черноплодную</t>
  </si>
  <si>
    <t>Рябина черноплодная СТБ739-93</t>
  </si>
  <si>
    <t>1 кг</t>
  </si>
  <si>
    <t>Цены на веник банный и мед натуральный</t>
  </si>
  <si>
    <t>Веник банный  ТУ РБ 00969296.008-99</t>
  </si>
  <si>
    <t>Мед натуральный</t>
  </si>
  <si>
    <t>Наименование услуги</t>
  </si>
  <si>
    <t>Описание</t>
  </si>
  <si>
    <t>Цена без НДС, рублей</t>
  </si>
  <si>
    <t>Проживание, пользование кухней, холодильником, посудой, микроволновкой предоставление постельных принадлежностей</t>
  </si>
  <si>
    <t>Сутки за домик</t>
  </si>
  <si>
    <t>Дом охотника (8 мест)</t>
  </si>
  <si>
    <t>Проживание 1 чел. в сутки в летний период</t>
  </si>
  <si>
    <t>Сутки</t>
  </si>
  <si>
    <t>Проживание 1 чел. в сутки в отопительный период период</t>
  </si>
  <si>
    <t>Услуги за пользование баней</t>
  </si>
  <si>
    <t>Веник банный</t>
  </si>
  <si>
    <t>Простынь в баню</t>
  </si>
  <si>
    <t>Прокат мангала с шампурами</t>
  </si>
  <si>
    <t>С предоставлением дров</t>
  </si>
  <si>
    <t>Стоянка автомобиля на территории</t>
  </si>
  <si>
    <t>Прокат беседки вместимостью до 80 человек</t>
  </si>
  <si>
    <t>Прокат беседки  от 5-10 чел</t>
  </si>
  <si>
    <t xml:space="preserve">Аренда комплекса </t>
  </si>
  <si>
    <t>Проживание, пользование баней, беседкой</t>
  </si>
  <si>
    <t xml:space="preserve">Прейскурант отпускных цен (тарифов) на оказание услуг в охотничье-туристическом комплексе "Фольварк-Бельчо"  </t>
  </si>
  <si>
    <t>Липа мягколиственная до 0,5 м</t>
  </si>
  <si>
    <t>Липа мягколиственная до 1,5 м</t>
  </si>
  <si>
    <t>Орех маньчжурский до 1,0 м</t>
  </si>
  <si>
    <t>Спирея дугласа до 1 м</t>
  </si>
  <si>
    <t>Спирея калинолистная до 1 м</t>
  </si>
  <si>
    <t>Можжевельник обыкновенный до 1,0 м</t>
  </si>
  <si>
    <t>Можжевельник виргинский до 0,5 м</t>
  </si>
  <si>
    <t>Можжевельник виргинский до 1,0 м</t>
  </si>
  <si>
    <t>Можжевельник скальный до 0,5 м</t>
  </si>
  <si>
    <t>Можжевельник скальный до 1,0 м</t>
  </si>
  <si>
    <t>Можжевельник даурский до 0,5 м</t>
  </si>
  <si>
    <t>Пихта белая</t>
  </si>
  <si>
    <t>Самшит вечнозеленый</t>
  </si>
  <si>
    <t>Туя западная до 1,0 м</t>
  </si>
  <si>
    <t>Туя западная Смаракт до 1,0 м</t>
  </si>
  <si>
    <t>Туя вересковидная до 0,5 м</t>
  </si>
  <si>
    <t>Барбарис Тунберга до 0,5 м</t>
  </si>
  <si>
    <t>Цены на ветви хвойные реализуемые на условиях франко-склад лесничества</t>
  </si>
  <si>
    <t>Цена за 1 плотный куб.м, бел.руб., без НДС</t>
  </si>
  <si>
    <t>4. Сырье древесное для выработки дубильных экстрактов</t>
  </si>
  <si>
    <t>5. ЖЕРДИ</t>
  </si>
  <si>
    <t>Франко-нижний лесосклад (склад п/п)</t>
  </si>
  <si>
    <t>Надбавки: при длине 1,5-2 м - 0,2 руб., при длине 1 м - 0,3 руб.</t>
  </si>
  <si>
    <t>Скидка: более 2-х м - 0,3 руб.</t>
  </si>
  <si>
    <t>Устройство ZPI</t>
  </si>
  <si>
    <t>1 га</t>
  </si>
  <si>
    <t>на услуги по строг. на п/м обрезной</t>
  </si>
  <si>
    <t>Сеянцы двухлетние и более (листвиница)    1000 шт</t>
  </si>
  <si>
    <t>Сеянцы двухлетние (дуб черешчатый)        1000 шт</t>
  </si>
  <si>
    <t>Сеянцы однолетние (дуб черешчатый)       1000 шт</t>
  </si>
  <si>
    <t>Дом в стиле Фахверк (4 места)</t>
  </si>
  <si>
    <t>Дом в стиле Шале (3 места)</t>
  </si>
  <si>
    <t>Дом в  Скандинавском стиле (6 мест)</t>
  </si>
  <si>
    <t>Дом в  стиле Прованс (4 мест)</t>
  </si>
  <si>
    <t>Хостел (16 мест)</t>
  </si>
  <si>
    <t>Услуга бильярда</t>
  </si>
  <si>
    <t>Цены на щепу топливную</t>
  </si>
  <si>
    <t>Щепа топливная на условиях франко-нижний лесосклад</t>
  </si>
  <si>
    <t>Дуб черешчатый дор 1,5 м</t>
  </si>
  <si>
    <t>Клен до 2 м</t>
  </si>
  <si>
    <t>Ольха черная до 1 м</t>
  </si>
  <si>
    <t>Сосна до 2 м</t>
  </si>
  <si>
    <t>Туя западная до 1,5 м</t>
  </si>
  <si>
    <t>Барбарис обыкновенный до 1,5 м</t>
  </si>
  <si>
    <t>Барбарис Тумберга до 1,5 м</t>
  </si>
  <si>
    <t>Бирючина</t>
  </si>
  <si>
    <t>Можжевельник казацкий до 1,0 м</t>
  </si>
  <si>
    <t>Туя западная золотистокончиковая до 1,0 м</t>
  </si>
  <si>
    <t>Можжевельник стелющийся до 1,0 м</t>
  </si>
  <si>
    <t>Ель канадская до 0,5 м</t>
  </si>
  <si>
    <t>Тисс ягодный</t>
  </si>
  <si>
    <t>Туя шаровидная Даника до 0,5 м</t>
  </si>
  <si>
    <t>Туя шаровидная Голден Глоб до 0,5 м</t>
  </si>
  <si>
    <t>Кипарисовик Санголд до 0,5 м</t>
  </si>
  <si>
    <t>Можжевельник Голд Стар до 1,0 м</t>
  </si>
  <si>
    <t>Ель голубая</t>
  </si>
  <si>
    <t>Лиственница европейская до 0,5 м</t>
  </si>
  <si>
    <t>Сосна обыкновенная до 1,0 м</t>
  </si>
  <si>
    <t>Чай курильский (лапчатка)</t>
  </si>
  <si>
    <t>Сеянцы сосны с закрытой корневой системой</t>
  </si>
  <si>
    <t>Сеянцы трехлетние (сосна)  1000 шт</t>
  </si>
  <si>
    <t>Клематис до 0,5 м</t>
  </si>
  <si>
    <t>Цены на деревья новогодние реализуемые на елочных базарах</t>
  </si>
  <si>
    <t>Отпускная цена  руб. с НДС</t>
  </si>
  <si>
    <t>Цены на  проведение работ и оказания услуг</t>
  </si>
  <si>
    <t>1 проба</t>
  </si>
  <si>
    <t>1. Определение удельной активности цезия-137 в древесине, пиломатериалах, щепе, изделиях из древесины, непищевой продукции леса, пищевых продуктах (подготовка проб к измерению, измерение содержания цезия-137, оформления протокола испытаний).</t>
  </si>
  <si>
    <t>2. Отбор проб древесины, непищевой продукции леса</t>
  </si>
  <si>
    <t>Семена сосны с крылаткой (б-т)</t>
  </si>
  <si>
    <t>Голубика Патриот</t>
  </si>
  <si>
    <t>Голубика Дениз Блю</t>
  </si>
  <si>
    <t>Скумпия</t>
  </si>
  <si>
    <t>Франко-лесосека</t>
  </si>
  <si>
    <t>Франко-склад лесничества</t>
  </si>
  <si>
    <t>2 метровые</t>
  </si>
  <si>
    <t>4 метровые</t>
  </si>
  <si>
    <t>Длинна</t>
  </si>
  <si>
    <t>1 метровые</t>
  </si>
  <si>
    <t>Сырые                ( свыше 25 )</t>
  </si>
  <si>
    <t>Сырые                   ( свыше 25 )</t>
  </si>
  <si>
    <t>Трактор МТЗ-82, МПТЛ</t>
  </si>
  <si>
    <t>Форвардер</t>
  </si>
  <si>
    <t>Расстояние</t>
  </si>
  <si>
    <t>до 1 км</t>
  </si>
  <si>
    <t>1,1 - 2,0</t>
  </si>
  <si>
    <t>Трактор (Беларус) МПТЛ, МПТ</t>
  </si>
  <si>
    <t>до 2,5 км</t>
  </si>
  <si>
    <t>Проживание 1 человека</t>
  </si>
  <si>
    <t>Цена  оказания услуг бани из расчета 5 человек.</t>
  </si>
  <si>
    <t>Экскурсия «Между Днепром и Березиной. Историческое путешествие по Жлобинской земле»</t>
  </si>
  <si>
    <t>Автобус, экскурсовод, питание ланч-бокс, группа 8 человек</t>
  </si>
  <si>
    <t>1 чел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</si>
</sst>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00"/>
    <numFmt numFmtId="187" formatCode="0.0000000"/>
    <numFmt numFmtId="188" formatCode="0.000000"/>
    <numFmt numFmtId="189" formatCode="0.00000"/>
    <numFmt numFmtId="190" formatCode="[$€-2]\ ###,000_);[Red]\([$€-2]\ ###,000\)"/>
    <numFmt numFmtId="191" formatCode="0.0%"/>
    <numFmt numFmtId="192" formatCode="#,##0.0"/>
    <numFmt numFmtId="193" formatCode="#,##0&quot;р.&quot;"/>
    <numFmt numFmtId="194" formatCode="_-* #,##0.0_р_._-;\-* #,##0.0_р_._-;_-* &quot;-&quot;_р_._-;_-@_-"/>
    <numFmt numFmtId="195" formatCode="_-* #,##0.00_р_._-;\-* #,##0.00_р_._-;_-* &quot;-&quot;_р_._-;_-@_-"/>
    <numFmt numFmtId="196" formatCode="#,##0.000"/>
    <numFmt numFmtId="197" formatCode="#,##0.0000"/>
    <numFmt numFmtId="198" formatCode="#,##0.00000"/>
    <numFmt numFmtId="199" formatCode="_-* #,##0.0_р_._-;\-* #,##0.0_р_._-;_-* &quot;-&quot;?_р_._-;_-@_-"/>
    <numFmt numFmtId="200" formatCode="[$-FC19]d\ mmmm\ yyyy\ &quot;г.&quot;"/>
    <numFmt numFmtId="201" formatCode="_-* #,##0_р_._-;\-* #,##0_р_._-;_-* &quot;-&quot;?_р_._-;_-@_-"/>
    <numFmt numFmtId="202" formatCode="[$€-2]\ #,##0.00"/>
    <numFmt numFmtId="203" formatCode="#,##0_р_."/>
    <numFmt numFmtId="204" formatCode="#,##0.000000"/>
    <numFmt numFmtId="205" formatCode="0.000000000"/>
    <numFmt numFmtId="206" formatCode="0.0000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i/>
      <u val="double"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CC"/>
      <name val="Times New Roman"/>
      <family val="1"/>
    </font>
    <font>
      <sz val="14"/>
      <color rgb="FF00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80" fontId="7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center" wrapText="1"/>
    </xf>
    <xf numFmtId="3" fontId="15" fillId="0" borderId="25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top"/>
    </xf>
    <xf numFmtId="0" fontId="15" fillId="0" borderId="25" xfId="0" applyFont="1" applyBorder="1" applyAlignment="1">
      <alignment horizontal="left" vertical="center" wrapText="1"/>
    </xf>
    <xf numFmtId="192" fontId="15" fillId="0" borderId="2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25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left" vertical="top" wrapText="1"/>
    </xf>
    <xf numFmtId="4" fontId="15" fillId="0" borderId="25" xfId="0" applyNumberFormat="1" applyFont="1" applyBorder="1" applyAlignment="1">
      <alignment horizontal="center" vertical="top" wrapText="1"/>
    </xf>
    <xf numFmtId="4" fontId="15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horizontal="left"/>
    </xf>
    <xf numFmtId="2" fontId="15" fillId="0" borderId="25" xfId="0" applyNumberFormat="1" applyFont="1" applyBorder="1" applyAlignment="1">
      <alignment horizontal="left"/>
    </xf>
    <xf numFmtId="1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2" fontId="15" fillId="0" borderId="16" xfId="0" applyNumberFormat="1" applyFont="1" applyBorder="1" applyAlignment="1">
      <alignment horizontal="left"/>
    </xf>
    <xf numFmtId="2" fontId="15" fillId="0" borderId="25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25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3" fontId="15" fillId="0" borderId="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4" fontId="15" fillId="34" borderId="2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25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25" xfId="0" applyFont="1" applyBorder="1" applyAlignment="1">
      <alignment horizontal="center" vertical="top"/>
    </xf>
    <xf numFmtId="0" fontId="15" fillId="0" borderId="16" xfId="0" applyFont="1" applyBorder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25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 vertical="top"/>
    </xf>
    <xf numFmtId="0" fontId="15" fillId="0" borderId="16" xfId="0" applyFont="1" applyBorder="1" applyAlignment="1">
      <alignment horizontal="center" vertical="top" wrapText="1"/>
    </xf>
    <xf numFmtId="0" fontId="15" fillId="0" borderId="25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4" fontId="15" fillId="0" borderId="25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5" fillId="0" borderId="2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3" fontId="58" fillId="0" borderId="0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 vertical="center"/>
    </xf>
    <xf numFmtId="4" fontId="15" fillId="0" borderId="32" xfId="0" applyNumberFormat="1" applyFont="1" applyBorder="1" applyAlignment="1">
      <alignment horizontal="center"/>
    </xf>
    <xf numFmtId="4" fontId="15" fillId="0" borderId="33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15" fillId="0" borderId="3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/>
    </xf>
    <xf numFmtId="4" fontId="15" fillId="0" borderId="37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/>
    </xf>
    <xf numFmtId="4" fontId="15" fillId="0" borderId="39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" fontId="15" fillId="0" borderId="16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/>
    </xf>
    <xf numFmtId="49" fontId="15" fillId="0" borderId="4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" fontId="59" fillId="0" borderId="36" xfId="0" applyNumberFormat="1" applyFont="1" applyBorder="1" applyAlignment="1">
      <alignment horizontal="center"/>
    </xf>
    <xf numFmtId="4" fontId="59" fillId="0" borderId="17" xfId="0" applyNumberFormat="1" applyFont="1" applyBorder="1" applyAlignment="1">
      <alignment horizontal="center"/>
    </xf>
    <xf numFmtId="4" fontId="59" fillId="0" borderId="39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 wrapText="1"/>
    </xf>
    <xf numFmtId="4" fontId="15" fillId="0" borderId="42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43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top" wrapText="1"/>
    </xf>
    <xf numFmtId="0" fontId="11" fillId="4" borderId="33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49" fontId="15" fillId="0" borderId="27" xfId="0" applyNumberFormat="1" applyFont="1" applyBorder="1" applyAlignment="1">
      <alignment horizontal="center" vertical="center"/>
    </xf>
    <xf numFmtId="4" fontId="15" fillId="0" borderId="45" xfId="0" applyNumberFormat="1" applyFont="1" applyBorder="1" applyAlignment="1">
      <alignment horizontal="center"/>
    </xf>
    <xf numFmtId="4" fontId="15" fillId="0" borderId="46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 vertical="center"/>
    </xf>
    <xf numFmtId="4" fontId="15" fillId="0" borderId="47" xfId="0" applyNumberFormat="1" applyFont="1" applyBorder="1" applyAlignment="1">
      <alignment horizontal="center"/>
    </xf>
    <xf numFmtId="0" fontId="11" fillId="4" borderId="25" xfId="0" applyFont="1" applyFill="1" applyBorder="1" applyAlignment="1">
      <alignment horizontal="center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3" fontId="58" fillId="0" borderId="0" xfId="0" applyNumberFormat="1" applyFont="1" applyFill="1" applyBorder="1" applyAlignment="1">
      <alignment horizont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" fontId="15" fillId="0" borderId="48" xfId="0" applyNumberFormat="1" applyFont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4" fontId="15" fillId="0" borderId="3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top" wrapText="1"/>
    </xf>
    <xf numFmtId="0" fontId="11" fillId="4" borderId="51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  <xf numFmtId="4" fontId="15" fillId="0" borderId="36" xfId="0" applyNumberFormat="1" applyFont="1" applyFill="1" applyBorder="1" applyAlignment="1">
      <alignment horizontal="center"/>
    </xf>
    <xf numFmtId="4" fontId="15" fillId="0" borderId="17" xfId="0" applyNumberFormat="1" applyFont="1" applyFill="1" applyBorder="1" applyAlignment="1">
      <alignment horizontal="center"/>
    </xf>
    <xf numFmtId="4" fontId="15" fillId="0" borderId="39" xfId="0" applyNumberFormat="1" applyFont="1" applyFill="1" applyBorder="1" applyAlignment="1">
      <alignment horizontal="center"/>
    </xf>
    <xf numFmtId="4" fontId="15" fillId="0" borderId="35" xfId="0" applyNumberFormat="1" applyFont="1" applyFill="1" applyBorder="1" applyAlignment="1">
      <alignment horizontal="center"/>
    </xf>
    <xf numFmtId="4" fontId="15" fillId="0" borderId="19" xfId="0" applyNumberFormat="1" applyFont="1" applyFill="1" applyBorder="1" applyAlignment="1">
      <alignment horizontal="center"/>
    </xf>
    <xf numFmtId="3" fontId="59" fillId="0" borderId="0" xfId="0" applyNumberFormat="1" applyFont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5" fillId="0" borderId="52" xfId="0" applyNumberFormat="1" applyFont="1" applyBorder="1" applyAlignment="1">
      <alignment horizontal="center" vertical="center" wrapText="1"/>
    </xf>
    <xf numFmtId="4" fontId="15" fillId="0" borderId="53" xfId="0" applyNumberFormat="1" applyFont="1" applyBorder="1" applyAlignment="1">
      <alignment horizontal="center" vertical="center"/>
    </xf>
    <xf numFmtId="192" fontId="15" fillId="0" borderId="25" xfId="0" applyNumberFormat="1" applyFont="1" applyBorder="1" applyAlignment="1">
      <alignment horizontal="center" vertical="center"/>
    </xf>
    <xf numFmtId="4" fontId="15" fillId="0" borderId="54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top" wrapText="1"/>
    </xf>
    <xf numFmtId="4" fontId="16" fillId="0" borderId="25" xfId="0" applyNumberFormat="1" applyFont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80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4" fontId="15" fillId="0" borderId="16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4" fontId="15" fillId="0" borderId="25" xfId="0" applyNumberFormat="1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4" fontId="15" fillId="0" borderId="2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" fontId="15" fillId="0" borderId="25" xfId="0" applyNumberFormat="1" applyFont="1" applyFill="1" applyBorder="1" applyAlignment="1">
      <alignment horizontal="center"/>
    </xf>
    <xf numFmtId="2" fontId="15" fillId="0" borderId="25" xfId="0" applyNumberFormat="1" applyFont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center" wrapText="1"/>
    </xf>
    <xf numFmtId="0" fontId="16" fillId="0" borderId="2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5" fillId="0" borderId="16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15" fillId="0" borderId="25" xfId="0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25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8" fillId="35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35" borderId="0" xfId="0" applyFont="1" applyFill="1" applyAlignment="1">
      <alignment horizontal="center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top" wrapText="1"/>
    </xf>
    <xf numFmtId="4" fontId="15" fillId="0" borderId="63" xfId="0" applyNumberFormat="1" applyFont="1" applyBorder="1" applyAlignment="1">
      <alignment horizontal="center" vertical="center"/>
    </xf>
    <xf numFmtId="4" fontId="15" fillId="0" borderId="64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top" wrapText="1"/>
    </xf>
    <xf numFmtId="0" fontId="15" fillId="0" borderId="66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4" fontId="15" fillId="0" borderId="40" xfId="0" applyNumberFormat="1" applyFont="1" applyBorder="1" applyAlignment="1">
      <alignment horizontal="center" vertical="center"/>
    </xf>
    <xf numFmtId="4" fontId="15" fillId="0" borderId="47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46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/>
    </xf>
    <xf numFmtId="0" fontId="15" fillId="0" borderId="55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top" wrapText="1"/>
    </xf>
    <xf numFmtId="49" fontId="15" fillId="0" borderId="2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5" fillId="0" borderId="6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69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3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6" fillId="0" borderId="28" xfId="0" applyFont="1" applyBorder="1" applyAlignment="1">
      <alignment horizontal="center" vertical="top" wrapText="1"/>
    </xf>
    <xf numFmtId="0" fontId="16" fillId="0" borderId="53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5" fillId="0" borderId="25" xfId="0" applyFont="1" applyBorder="1" applyAlignment="1">
      <alignment horizontal="center" vertical="top"/>
    </xf>
    <xf numFmtId="0" fontId="15" fillId="0" borderId="16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4" fontId="15" fillId="0" borderId="28" xfId="0" applyNumberFormat="1" applyFont="1" applyBorder="1" applyAlignment="1">
      <alignment horizontal="center"/>
    </xf>
    <xf numFmtId="4" fontId="15" fillId="0" borderId="54" xfId="0" applyNumberFormat="1" applyFont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4" fontId="15" fillId="0" borderId="53" xfId="0" applyNumberFormat="1" applyFont="1" applyFill="1" applyBorder="1" applyAlignment="1">
      <alignment horizontal="center"/>
    </xf>
    <xf numFmtId="4" fontId="15" fillId="0" borderId="54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8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4" fontId="15" fillId="0" borderId="25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" fontId="15" fillId="0" borderId="53" xfId="0" applyNumberFormat="1" applyFont="1" applyBorder="1" applyAlignment="1">
      <alignment horizontal="center"/>
    </xf>
    <xf numFmtId="0" fontId="15" fillId="0" borderId="28" xfId="0" applyFont="1" applyBorder="1" applyAlignment="1">
      <alignment horizontal="left" wrapText="1"/>
    </xf>
    <xf numFmtId="0" fontId="15" fillId="0" borderId="54" xfId="0" applyFont="1" applyBorder="1" applyAlignment="1">
      <alignment horizontal="left" wrapText="1"/>
    </xf>
    <xf numFmtId="0" fontId="15" fillId="0" borderId="53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top"/>
    </xf>
    <xf numFmtId="0" fontId="15" fillId="0" borderId="54" xfId="0" applyFont="1" applyBorder="1" applyAlignment="1">
      <alignment horizontal="center" vertical="top"/>
    </xf>
    <xf numFmtId="4" fontId="15" fillId="36" borderId="28" xfId="0" applyNumberFormat="1" applyFont="1" applyFill="1" applyBorder="1" applyAlignment="1">
      <alignment horizontal="center"/>
    </xf>
    <xf numFmtId="4" fontId="15" fillId="36" borderId="54" xfId="0" applyNumberFormat="1" applyFont="1" applyFill="1" applyBorder="1" applyAlignment="1">
      <alignment horizontal="center"/>
    </xf>
    <xf numFmtId="0" fontId="15" fillId="0" borderId="53" xfId="0" applyFont="1" applyBorder="1" applyAlignment="1">
      <alignment horizontal="left" vertical="top" wrapText="1"/>
    </xf>
    <xf numFmtId="4" fontId="15" fillId="0" borderId="28" xfId="0" applyNumberFormat="1" applyFont="1" applyBorder="1" applyAlignment="1">
      <alignment horizontal="center" vertical="center"/>
    </xf>
    <xf numFmtId="4" fontId="15" fillId="0" borderId="54" xfId="0" applyNumberFormat="1" applyFont="1" applyBorder="1" applyAlignment="1">
      <alignment horizontal="center" vertical="center"/>
    </xf>
    <xf numFmtId="0" fontId="15" fillId="0" borderId="32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5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8" sqref="C18:C20"/>
    </sheetView>
  </sheetViews>
  <sheetFormatPr defaultColWidth="9.00390625" defaultRowHeight="12.75"/>
  <cols>
    <col min="1" max="1" width="3.25390625" style="1" customWidth="1"/>
    <col min="2" max="4" width="20.625" style="1" customWidth="1"/>
    <col min="5" max="5" width="23.625" style="1" customWidth="1"/>
    <col min="6" max="6" width="6.875" style="1" customWidth="1"/>
    <col min="7" max="7" width="14.75390625" style="8" customWidth="1"/>
    <col min="8" max="16384" width="9.125" style="1" customWidth="1"/>
  </cols>
  <sheetData>
    <row r="1" spans="1:6" ht="19.5">
      <c r="A1" s="267" t="s">
        <v>14</v>
      </c>
      <c r="B1" s="267"/>
      <c r="C1" s="267"/>
      <c r="D1" s="267"/>
      <c r="E1" s="267"/>
      <c r="F1" s="267"/>
    </row>
    <row r="2" spans="1:6" ht="15.75">
      <c r="A2" s="245" t="s">
        <v>15</v>
      </c>
      <c r="B2" s="245"/>
      <c r="C2" s="245"/>
      <c r="D2" s="245"/>
      <c r="E2" s="245"/>
      <c r="F2" s="245"/>
    </row>
    <row r="3" spans="1:6" ht="15.75">
      <c r="A3" s="268" t="s">
        <v>0</v>
      </c>
      <c r="B3" s="268"/>
      <c r="C3" s="268"/>
      <c r="D3" s="268"/>
      <c r="E3" s="268"/>
      <c r="F3" s="268"/>
    </row>
    <row r="4" spans="1:6" ht="15.75">
      <c r="A4" s="245" t="s">
        <v>25</v>
      </c>
      <c r="B4" s="245"/>
      <c r="C4" s="245"/>
      <c r="D4" s="245"/>
      <c r="E4" s="245"/>
      <c r="F4" s="245"/>
    </row>
    <row r="5" spans="1:6" ht="15.75">
      <c r="A5" s="269" t="s">
        <v>1</v>
      </c>
      <c r="B5" s="269"/>
      <c r="C5" s="269"/>
      <c r="D5" s="269"/>
      <c r="E5" s="269"/>
      <c r="F5" s="269"/>
    </row>
    <row r="6" spans="1:6" ht="15.75">
      <c r="A6" s="256" t="s">
        <v>2</v>
      </c>
      <c r="B6" s="256"/>
      <c r="C6" s="256"/>
      <c r="D6" s="256"/>
      <c r="E6" s="256"/>
      <c r="F6" s="256"/>
    </row>
    <row r="7" spans="1:7" ht="35.25" customHeight="1" thickBot="1">
      <c r="A7" s="266" t="s">
        <v>31</v>
      </c>
      <c r="B7" s="266"/>
      <c r="C7" s="266"/>
      <c r="D7" s="266"/>
      <c r="E7" s="266"/>
      <c r="F7" s="266"/>
      <c r="G7" s="9"/>
    </row>
    <row r="8" spans="1:7" ht="30.75" thickBot="1">
      <c r="A8" s="3"/>
      <c r="B8" s="4" t="s">
        <v>3</v>
      </c>
      <c r="C8" s="5" t="s">
        <v>5</v>
      </c>
      <c r="D8" s="5" t="s">
        <v>4</v>
      </c>
      <c r="E8" s="6" t="s">
        <v>6</v>
      </c>
      <c r="F8" s="3"/>
      <c r="G8" s="9" t="s">
        <v>24</v>
      </c>
    </row>
    <row r="9" spans="1:7" ht="15.75">
      <c r="A9" s="3"/>
      <c r="B9" s="262" t="s">
        <v>7</v>
      </c>
      <c r="C9" s="249" t="s">
        <v>16</v>
      </c>
      <c r="D9" s="11">
        <v>1</v>
      </c>
      <c r="E9" s="18">
        <f>ROUND(E10*1.2/10,0)*10</f>
        <v>178200</v>
      </c>
      <c r="F9" s="7"/>
      <c r="G9" s="10">
        <f>E9+(E9*20/100)</f>
        <v>213840</v>
      </c>
    </row>
    <row r="10" spans="1:7" ht="15.75">
      <c r="A10" s="3"/>
      <c r="B10" s="263"/>
      <c r="C10" s="259"/>
      <c r="D10" s="12">
        <v>2</v>
      </c>
      <c r="E10" s="16">
        <v>148500</v>
      </c>
      <c r="F10" s="7"/>
      <c r="G10" s="10">
        <f aca="true" t="shared" si="0" ref="G10:G156">E10+(E10*20/100)</f>
        <v>178200</v>
      </c>
    </row>
    <row r="11" spans="1:7" ht="15.75">
      <c r="A11" s="3"/>
      <c r="B11" s="263"/>
      <c r="C11" s="250"/>
      <c r="D11" s="13">
        <v>3</v>
      </c>
      <c r="E11" s="19">
        <f>ROUND(E10*0.8/10,0)*10</f>
        <v>118800</v>
      </c>
      <c r="F11" s="7"/>
      <c r="G11" s="10">
        <f t="shared" si="0"/>
        <v>142560</v>
      </c>
    </row>
    <row r="12" spans="1:7" ht="15.75">
      <c r="A12" s="3"/>
      <c r="B12" s="263"/>
      <c r="C12" s="251" t="s">
        <v>18</v>
      </c>
      <c r="D12" s="12">
        <v>1</v>
      </c>
      <c r="E12" s="20">
        <f>ROUND(E13*1.2/10,0)*10</f>
        <v>232080</v>
      </c>
      <c r="F12" s="7"/>
      <c r="G12" s="10">
        <f t="shared" si="0"/>
        <v>278496</v>
      </c>
    </row>
    <row r="13" spans="1:7" ht="15.75">
      <c r="A13" s="3"/>
      <c r="B13" s="263"/>
      <c r="C13" s="259"/>
      <c r="D13" s="12">
        <v>2</v>
      </c>
      <c r="E13" s="16">
        <v>193400</v>
      </c>
      <c r="F13" s="7"/>
      <c r="G13" s="10">
        <f t="shared" si="0"/>
        <v>232080</v>
      </c>
    </row>
    <row r="14" spans="1:7" ht="15.75">
      <c r="A14" s="3"/>
      <c r="B14" s="263"/>
      <c r="C14" s="250"/>
      <c r="D14" s="13">
        <v>3</v>
      </c>
      <c r="E14" s="19">
        <f>ROUND(E13*0.8/10,0)*10</f>
        <v>154720</v>
      </c>
      <c r="F14" s="7"/>
      <c r="G14" s="10">
        <f t="shared" si="0"/>
        <v>185664</v>
      </c>
    </row>
    <row r="15" spans="1:7" ht="15.75">
      <c r="A15" s="3"/>
      <c r="B15" s="263"/>
      <c r="C15" s="251" t="s">
        <v>19</v>
      </c>
      <c r="D15" s="12">
        <v>1</v>
      </c>
      <c r="E15" s="20">
        <f>ROUND(E16*1.2/10,0)*10</f>
        <v>301320</v>
      </c>
      <c r="F15" s="7"/>
      <c r="G15" s="10">
        <f t="shared" si="0"/>
        <v>361584</v>
      </c>
    </row>
    <row r="16" spans="1:7" ht="15.75">
      <c r="A16" s="3"/>
      <c r="B16" s="263"/>
      <c r="C16" s="259"/>
      <c r="D16" s="12">
        <v>2</v>
      </c>
      <c r="E16" s="16">
        <v>251100</v>
      </c>
      <c r="F16" s="7"/>
      <c r="G16" s="10">
        <f t="shared" si="0"/>
        <v>301320</v>
      </c>
    </row>
    <row r="17" spans="1:7" ht="15.75">
      <c r="A17" s="3"/>
      <c r="B17" s="263"/>
      <c r="C17" s="250"/>
      <c r="D17" s="13">
        <v>3</v>
      </c>
      <c r="E17" s="19">
        <f>ROUND(E16*0.8/10,0)*10</f>
        <v>200880</v>
      </c>
      <c r="F17" s="7"/>
      <c r="G17" s="10">
        <f t="shared" si="0"/>
        <v>241056</v>
      </c>
    </row>
    <row r="18" spans="1:7" ht="15.75">
      <c r="A18" s="3"/>
      <c r="B18" s="263"/>
      <c r="C18" s="251" t="s">
        <v>13</v>
      </c>
      <c r="D18" s="12">
        <v>1</v>
      </c>
      <c r="E18" s="20">
        <f>ROUND(E19*1.2/10,0)*10</f>
        <v>399840</v>
      </c>
      <c r="F18" s="7"/>
      <c r="G18" s="10">
        <f t="shared" si="0"/>
        <v>479808</v>
      </c>
    </row>
    <row r="19" spans="1:7" ht="15.75">
      <c r="A19" s="3"/>
      <c r="B19" s="263"/>
      <c r="C19" s="259"/>
      <c r="D19" s="12">
        <v>2</v>
      </c>
      <c r="E19" s="16">
        <v>333200</v>
      </c>
      <c r="F19" s="7"/>
      <c r="G19" s="10">
        <f t="shared" si="0"/>
        <v>399840</v>
      </c>
    </row>
    <row r="20" spans="1:7" ht="16.5" thickBot="1">
      <c r="A20" s="3"/>
      <c r="B20" s="264"/>
      <c r="C20" s="252"/>
      <c r="D20" s="15">
        <v>3</v>
      </c>
      <c r="E20" s="17">
        <f>ROUND(E19*0.8/10,0)*10</f>
        <v>266560</v>
      </c>
      <c r="F20" s="7"/>
      <c r="G20" s="10">
        <f t="shared" si="0"/>
        <v>319872</v>
      </c>
    </row>
    <row r="21" spans="1:7" ht="15.75">
      <c r="A21" s="245" t="s">
        <v>26</v>
      </c>
      <c r="B21" s="245"/>
      <c r="C21" s="245"/>
      <c r="D21" s="245"/>
      <c r="E21" s="245"/>
      <c r="F21" s="245"/>
      <c r="G21" s="10"/>
    </row>
    <row r="22" spans="1:7" ht="16.5" thickBot="1">
      <c r="A22" s="245" t="s">
        <v>27</v>
      </c>
      <c r="B22" s="245"/>
      <c r="C22" s="245"/>
      <c r="D22" s="245"/>
      <c r="E22" s="245"/>
      <c r="F22" s="245"/>
      <c r="G22" s="10"/>
    </row>
    <row r="23" spans="1:7" ht="30.75" thickBot="1">
      <c r="A23" s="3"/>
      <c r="B23" s="4" t="s">
        <v>3</v>
      </c>
      <c r="C23" s="5" t="s">
        <v>5</v>
      </c>
      <c r="D23" s="5" t="s">
        <v>4</v>
      </c>
      <c r="E23" s="6" t="s">
        <v>6</v>
      </c>
      <c r="F23" s="7"/>
      <c r="G23" s="10"/>
    </row>
    <row r="24" spans="1:7" ht="15.75">
      <c r="A24" s="3"/>
      <c r="B24" s="257" t="s">
        <v>28</v>
      </c>
      <c r="C24" s="259" t="s">
        <v>13</v>
      </c>
      <c r="D24" s="12" t="s">
        <v>22</v>
      </c>
      <c r="E24" s="16">
        <f>ROUND(E25*1.2/10,0)*10</f>
        <v>501000</v>
      </c>
      <c r="F24" s="7"/>
      <c r="G24" s="10">
        <f t="shared" si="0"/>
        <v>601200</v>
      </c>
    </row>
    <row r="25" spans="1:7" ht="15.75">
      <c r="A25" s="3"/>
      <c r="B25" s="257"/>
      <c r="C25" s="259"/>
      <c r="D25" s="12" t="s">
        <v>23</v>
      </c>
      <c r="E25" s="16">
        <v>417500</v>
      </c>
      <c r="F25" s="7"/>
      <c r="G25" s="10">
        <f t="shared" si="0"/>
        <v>501000</v>
      </c>
    </row>
    <row r="26" spans="1:7" ht="16.5" thickBot="1">
      <c r="A26" s="3"/>
      <c r="B26" s="258"/>
      <c r="C26" s="252"/>
      <c r="D26" s="15" t="s">
        <v>29</v>
      </c>
      <c r="E26" s="17">
        <f>ROUND(E25*0.8/10,0)*10</f>
        <v>334000</v>
      </c>
      <c r="F26" s="7"/>
      <c r="G26" s="10">
        <f t="shared" si="0"/>
        <v>400800</v>
      </c>
    </row>
    <row r="27" spans="1:7" ht="15.75">
      <c r="A27" s="256" t="s">
        <v>30</v>
      </c>
      <c r="B27" s="256"/>
      <c r="C27" s="256"/>
      <c r="D27" s="256"/>
      <c r="E27" s="256"/>
      <c r="F27" s="256"/>
      <c r="G27" s="10"/>
    </row>
    <row r="28" spans="1:7" ht="16.5" thickBot="1">
      <c r="A28" s="245" t="s">
        <v>35</v>
      </c>
      <c r="B28" s="245"/>
      <c r="C28" s="245"/>
      <c r="D28" s="245"/>
      <c r="E28" s="245"/>
      <c r="F28" s="245"/>
      <c r="G28" s="10"/>
    </row>
    <row r="29" spans="1:7" ht="30.75" thickBot="1">
      <c r="A29" s="3"/>
      <c r="B29" s="4" t="s">
        <v>3</v>
      </c>
      <c r="C29" s="5" t="s">
        <v>5</v>
      </c>
      <c r="D29" s="5" t="s">
        <v>4</v>
      </c>
      <c r="E29" s="6" t="s">
        <v>6</v>
      </c>
      <c r="F29" s="7"/>
      <c r="G29" s="10"/>
    </row>
    <row r="30" spans="1:7" ht="15.75">
      <c r="A30" s="3"/>
      <c r="B30" s="257" t="s">
        <v>8</v>
      </c>
      <c r="C30" s="259" t="s">
        <v>32</v>
      </c>
      <c r="D30" s="12" t="s">
        <v>22</v>
      </c>
      <c r="E30" s="16">
        <f>ROUND(E31*1.2/10,0)*10</f>
        <v>174000</v>
      </c>
      <c r="F30" s="7"/>
      <c r="G30" s="10">
        <f t="shared" si="0"/>
        <v>208800</v>
      </c>
    </row>
    <row r="31" spans="1:7" ht="15.75">
      <c r="A31" s="3"/>
      <c r="B31" s="257"/>
      <c r="C31" s="259"/>
      <c r="D31" s="12" t="s">
        <v>23</v>
      </c>
      <c r="E31" s="16">
        <v>145000</v>
      </c>
      <c r="F31" s="7"/>
      <c r="G31" s="10">
        <f t="shared" si="0"/>
        <v>174000</v>
      </c>
    </row>
    <row r="32" spans="1:7" ht="16.5" thickBot="1">
      <c r="A32" s="3"/>
      <c r="B32" s="258"/>
      <c r="C32" s="252"/>
      <c r="D32" s="15" t="s">
        <v>29</v>
      </c>
      <c r="E32" s="17">
        <f>ROUND(E31*0.8/10,0)*10</f>
        <v>116000</v>
      </c>
      <c r="F32" s="7"/>
      <c r="G32" s="10">
        <f t="shared" si="0"/>
        <v>139200</v>
      </c>
    </row>
    <row r="33" spans="1:7" ht="15.75">
      <c r="A33" s="256" t="s">
        <v>33</v>
      </c>
      <c r="B33" s="256"/>
      <c r="C33" s="256"/>
      <c r="D33" s="256"/>
      <c r="E33" s="256"/>
      <c r="F33" s="256"/>
      <c r="G33" s="10"/>
    </row>
    <row r="34" spans="1:7" ht="16.5" thickBot="1">
      <c r="A34" s="245" t="s">
        <v>34</v>
      </c>
      <c r="B34" s="245"/>
      <c r="C34" s="245"/>
      <c r="D34" s="245"/>
      <c r="E34" s="245"/>
      <c r="F34" s="245"/>
      <c r="G34" s="10"/>
    </row>
    <row r="35" spans="1:7" ht="30.75" thickBot="1">
      <c r="A35" s="3"/>
      <c r="B35" s="4" t="s">
        <v>3</v>
      </c>
      <c r="C35" s="5" t="s">
        <v>5</v>
      </c>
      <c r="D35" s="5" t="s">
        <v>4</v>
      </c>
      <c r="E35" s="6" t="s">
        <v>6</v>
      </c>
      <c r="F35" s="7"/>
      <c r="G35" s="10"/>
    </row>
    <row r="36" spans="1:7" ht="15.75">
      <c r="A36" s="3"/>
      <c r="B36" s="257" t="s">
        <v>8</v>
      </c>
      <c r="C36" s="259" t="s">
        <v>32</v>
      </c>
      <c r="D36" s="12" t="s">
        <v>22</v>
      </c>
      <c r="E36" s="16">
        <f>ROUND(E37*1.2/10,0)*10</f>
        <v>481680</v>
      </c>
      <c r="F36" s="7"/>
      <c r="G36" s="10">
        <f t="shared" si="0"/>
        <v>578016</v>
      </c>
    </row>
    <row r="37" spans="1:7" ht="16.5" thickBot="1">
      <c r="A37" s="3"/>
      <c r="B37" s="258"/>
      <c r="C37" s="252"/>
      <c r="D37" s="15" t="s">
        <v>23</v>
      </c>
      <c r="E37" s="17">
        <v>401400</v>
      </c>
      <c r="F37" s="7"/>
      <c r="G37" s="10">
        <f t="shared" si="0"/>
        <v>481680</v>
      </c>
    </row>
    <row r="38" spans="1:7" ht="15.75">
      <c r="A38" s="256" t="s">
        <v>36</v>
      </c>
      <c r="B38" s="256"/>
      <c r="C38" s="256"/>
      <c r="D38" s="256"/>
      <c r="E38" s="256"/>
      <c r="F38" s="256"/>
      <c r="G38" s="10"/>
    </row>
    <row r="39" spans="1:7" ht="16.5" thickBot="1">
      <c r="A39" s="245" t="s">
        <v>27</v>
      </c>
      <c r="B39" s="245"/>
      <c r="C39" s="245"/>
      <c r="D39" s="245"/>
      <c r="E39" s="245"/>
      <c r="F39" s="245"/>
      <c r="G39" s="10"/>
    </row>
    <row r="40" spans="1:7" ht="30.75" thickBot="1">
      <c r="A40" s="3"/>
      <c r="B40" s="4" t="s">
        <v>3</v>
      </c>
      <c r="C40" s="5" t="s">
        <v>5</v>
      </c>
      <c r="D40" s="5" t="s">
        <v>4</v>
      </c>
      <c r="E40" s="6" t="s">
        <v>6</v>
      </c>
      <c r="F40" s="7"/>
      <c r="G40" s="10"/>
    </row>
    <row r="41" spans="1:7" ht="15.75">
      <c r="A41" s="3"/>
      <c r="B41" s="257" t="s">
        <v>37</v>
      </c>
      <c r="C41" s="259" t="s">
        <v>38</v>
      </c>
      <c r="D41" s="12" t="s">
        <v>23</v>
      </c>
      <c r="E41" s="260">
        <v>112200</v>
      </c>
      <c r="F41" s="7"/>
      <c r="G41" s="255">
        <f t="shared" si="0"/>
        <v>134640</v>
      </c>
    </row>
    <row r="42" spans="1:7" ht="16.5" thickBot="1">
      <c r="A42" s="3"/>
      <c r="B42" s="258"/>
      <c r="C42" s="252"/>
      <c r="D42" s="15" t="s">
        <v>29</v>
      </c>
      <c r="E42" s="261"/>
      <c r="F42" s="7"/>
      <c r="G42" s="255"/>
    </row>
    <row r="43" spans="1:7" ht="15.75">
      <c r="A43" s="256" t="s">
        <v>41</v>
      </c>
      <c r="B43" s="256"/>
      <c r="C43" s="256"/>
      <c r="D43" s="256"/>
      <c r="E43" s="256"/>
      <c r="F43" s="256"/>
      <c r="G43" s="10"/>
    </row>
    <row r="44" spans="1:7" ht="16.5" thickBot="1">
      <c r="A44" s="245" t="s">
        <v>42</v>
      </c>
      <c r="B44" s="245"/>
      <c r="C44" s="245"/>
      <c r="D44" s="245"/>
      <c r="E44" s="245"/>
      <c r="F44" s="245"/>
      <c r="G44" s="10"/>
    </row>
    <row r="45" spans="1:7" ht="30.75" thickBot="1">
      <c r="A45" s="3"/>
      <c r="B45" s="4" t="s">
        <v>3</v>
      </c>
      <c r="C45" s="5" t="s">
        <v>5</v>
      </c>
      <c r="D45" s="5" t="s">
        <v>4</v>
      </c>
      <c r="E45" s="6" t="s">
        <v>6</v>
      </c>
      <c r="F45" s="7"/>
      <c r="G45" s="10"/>
    </row>
    <row r="46" spans="1:7" ht="15.75">
      <c r="A46" s="3"/>
      <c r="B46" s="257" t="s">
        <v>39</v>
      </c>
      <c r="C46" s="259" t="s">
        <v>40</v>
      </c>
      <c r="D46" s="12" t="s">
        <v>23</v>
      </c>
      <c r="E46" s="16">
        <v>104000</v>
      </c>
      <c r="F46" s="7"/>
      <c r="G46" s="10">
        <f t="shared" si="0"/>
        <v>124800</v>
      </c>
    </row>
    <row r="47" spans="1:7" ht="16.5" thickBot="1">
      <c r="A47" s="3"/>
      <c r="B47" s="258"/>
      <c r="C47" s="252"/>
      <c r="D47" s="15" t="s">
        <v>29</v>
      </c>
      <c r="E47" s="17">
        <f>ROUND(E46*0.8/10,0)*10</f>
        <v>83200</v>
      </c>
      <c r="F47" s="7"/>
      <c r="G47" s="10">
        <f t="shared" si="0"/>
        <v>99840</v>
      </c>
    </row>
    <row r="48" spans="1:7" ht="15.75">
      <c r="A48" s="265" t="s">
        <v>9</v>
      </c>
      <c r="B48" s="265"/>
      <c r="C48" s="265"/>
      <c r="D48" s="265"/>
      <c r="E48" s="265"/>
      <c r="F48" s="265"/>
      <c r="G48" s="10"/>
    </row>
    <row r="49" spans="1:7" ht="15.75">
      <c r="A49" s="266" t="s">
        <v>10</v>
      </c>
      <c r="B49" s="266"/>
      <c r="C49" s="266"/>
      <c r="D49" s="266"/>
      <c r="E49" s="266"/>
      <c r="F49" s="266"/>
      <c r="G49" s="10"/>
    </row>
    <row r="50" spans="1:7" ht="15.75">
      <c r="A50" s="256" t="s">
        <v>2</v>
      </c>
      <c r="B50" s="256"/>
      <c r="C50" s="256"/>
      <c r="D50" s="256"/>
      <c r="E50" s="256"/>
      <c r="F50" s="256"/>
      <c r="G50" s="10"/>
    </row>
    <row r="51" spans="1:7" ht="15.75">
      <c r="A51" s="245" t="s">
        <v>11</v>
      </c>
      <c r="B51" s="245"/>
      <c r="C51" s="245"/>
      <c r="D51" s="245"/>
      <c r="E51" s="245"/>
      <c r="F51" s="245"/>
      <c r="G51" s="10"/>
    </row>
    <row r="52" spans="1:7" ht="16.5" thickBot="1">
      <c r="A52" s="245" t="s">
        <v>43</v>
      </c>
      <c r="B52" s="245"/>
      <c r="C52" s="245"/>
      <c r="D52" s="245"/>
      <c r="E52" s="245"/>
      <c r="F52" s="245"/>
      <c r="G52" s="10"/>
    </row>
    <row r="53" spans="1:7" ht="30.75" thickBot="1">
      <c r="A53" s="3"/>
      <c r="B53" s="4" t="s">
        <v>3</v>
      </c>
      <c r="C53" s="5" t="s">
        <v>5</v>
      </c>
      <c r="D53" s="5" t="s">
        <v>4</v>
      </c>
      <c r="E53" s="6" t="s">
        <v>6</v>
      </c>
      <c r="F53" s="3"/>
      <c r="G53" s="10"/>
    </row>
    <row r="54" spans="1:7" ht="15.75">
      <c r="A54" s="3"/>
      <c r="B54" s="262" t="s">
        <v>8</v>
      </c>
      <c r="C54" s="249" t="s">
        <v>16</v>
      </c>
      <c r="D54" s="11">
        <v>1</v>
      </c>
      <c r="E54" s="18">
        <f>ROUND(E55*1.2/10,0)*10</f>
        <v>142440</v>
      </c>
      <c r="F54" s="7"/>
      <c r="G54" s="10">
        <f t="shared" si="0"/>
        <v>170928</v>
      </c>
    </row>
    <row r="55" spans="1:7" ht="15.75">
      <c r="A55" s="3"/>
      <c r="B55" s="263"/>
      <c r="C55" s="259"/>
      <c r="D55" s="12">
        <v>2</v>
      </c>
      <c r="E55" s="16">
        <v>118700</v>
      </c>
      <c r="F55" s="7"/>
      <c r="G55" s="10">
        <f t="shared" si="0"/>
        <v>142440</v>
      </c>
    </row>
    <row r="56" spans="1:7" ht="15.75">
      <c r="A56" s="3"/>
      <c r="B56" s="263"/>
      <c r="C56" s="250"/>
      <c r="D56" s="13">
        <v>3</v>
      </c>
      <c r="E56" s="19">
        <f>ROUND(E55*0.8/10,0)*10</f>
        <v>94960</v>
      </c>
      <c r="F56" s="7"/>
      <c r="G56" s="10">
        <f t="shared" si="0"/>
        <v>113952</v>
      </c>
    </row>
    <row r="57" spans="1:7" ht="15.75">
      <c r="A57" s="3"/>
      <c r="B57" s="263"/>
      <c r="C57" s="251" t="s">
        <v>17</v>
      </c>
      <c r="D57" s="12">
        <v>1</v>
      </c>
      <c r="E57" s="20">
        <f>ROUND(E58*1.2/10,0)*10</f>
        <v>161520</v>
      </c>
      <c r="F57" s="7"/>
      <c r="G57" s="10">
        <f t="shared" si="0"/>
        <v>193824</v>
      </c>
    </row>
    <row r="58" spans="1:7" ht="15.75">
      <c r="A58" s="3"/>
      <c r="B58" s="263"/>
      <c r="C58" s="259"/>
      <c r="D58" s="12">
        <v>2</v>
      </c>
      <c r="E58" s="16">
        <v>134600</v>
      </c>
      <c r="F58" s="7"/>
      <c r="G58" s="10">
        <f t="shared" si="0"/>
        <v>161520</v>
      </c>
    </row>
    <row r="59" spans="1:7" ht="15.75">
      <c r="A59" s="3"/>
      <c r="B59" s="263"/>
      <c r="C59" s="250"/>
      <c r="D59" s="13">
        <v>3</v>
      </c>
      <c r="E59" s="19">
        <f>ROUND(E58*0.8/10,0)*10</f>
        <v>107680</v>
      </c>
      <c r="F59" s="7"/>
      <c r="G59" s="10">
        <f t="shared" si="0"/>
        <v>129216</v>
      </c>
    </row>
    <row r="60" spans="1:7" ht="15.75">
      <c r="A60" s="3"/>
      <c r="B60" s="263"/>
      <c r="C60" s="251" t="s">
        <v>13</v>
      </c>
      <c r="D60" s="12">
        <v>1</v>
      </c>
      <c r="E60" s="20">
        <f>ROUND(E61*1.2/10,0)*10</f>
        <v>191040</v>
      </c>
      <c r="F60" s="7"/>
      <c r="G60" s="10">
        <f t="shared" si="0"/>
        <v>229248</v>
      </c>
    </row>
    <row r="61" spans="1:7" ht="15.75">
      <c r="A61" s="3"/>
      <c r="B61" s="263"/>
      <c r="C61" s="259"/>
      <c r="D61" s="12">
        <v>2</v>
      </c>
      <c r="E61" s="16">
        <v>159200</v>
      </c>
      <c r="F61" s="7"/>
      <c r="G61" s="10">
        <f t="shared" si="0"/>
        <v>191040</v>
      </c>
    </row>
    <row r="62" spans="1:7" ht="16.5" thickBot="1">
      <c r="A62" s="3"/>
      <c r="B62" s="264"/>
      <c r="C62" s="252"/>
      <c r="D62" s="15">
        <v>3</v>
      </c>
      <c r="E62" s="21">
        <f>ROUND(E61*0.8/10,0)*10</f>
        <v>127360</v>
      </c>
      <c r="F62" s="7"/>
      <c r="G62" s="10">
        <f t="shared" si="0"/>
        <v>152832</v>
      </c>
    </row>
    <row r="63" spans="1:7" ht="16.5" thickBot="1">
      <c r="A63" s="245" t="s">
        <v>44</v>
      </c>
      <c r="B63" s="245"/>
      <c r="C63" s="245"/>
      <c r="D63" s="245"/>
      <c r="E63" s="245"/>
      <c r="F63" s="245"/>
      <c r="G63" s="10"/>
    </row>
    <row r="64" spans="1:7" ht="30.75" thickBot="1">
      <c r="A64" s="3"/>
      <c r="B64" s="4" t="s">
        <v>3</v>
      </c>
      <c r="C64" s="5" t="s">
        <v>5</v>
      </c>
      <c r="D64" s="5" t="s">
        <v>4</v>
      </c>
      <c r="E64" s="6" t="s">
        <v>6</v>
      </c>
      <c r="F64" s="3"/>
      <c r="G64" s="10"/>
    </row>
    <row r="65" spans="1:7" ht="15.75">
      <c r="A65" s="3"/>
      <c r="B65" s="262" t="s">
        <v>8</v>
      </c>
      <c r="C65" s="249" t="s">
        <v>16</v>
      </c>
      <c r="D65" s="11">
        <v>1</v>
      </c>
      <c r="E65" s="18">
        <f>ROUND(E66*1.2/10,0)*10</f>
        <v>114960</v>
      </c>
      <c r="F65" s="7"/>
      <c r="G65" s="10">
        <f t="shared" si="0"/>
        <v>137952</v>
      </c>
    </row>
    <row r="66" spans="1:7" ht="15.75">
      <c r="A66" s="3"/>
      <c r="B66" s="263"/>
      <c r="C66" s="259"/>
      <c r="D66" s="12">
        <v>2</v>
      </c>
      <c r="E66" s="16">
        <v>95800</v>
      </c>
      <c r="F66" s="7"/>
      <c r="G66" s="10">
        <f t="shared" si="0"/>
        <v>114960</v>
      </c>
    </row>
    <row r="67" spans="1:7" ht="15.75">
      <c r="A67" s="3"/>
      <c r="B67" s="263"/>
      <c r="C67" s="250"/>
      <c r="D67" s="13">
        <v>3</v>
      </c>
      <c r="E67" s="19">
        <f>ROUND(E66*0.8/10,0)*10</f>
        <v>76640</v>
      </c>
      <c r="F67" s="7"/>
      <c r="G67" s="10">
        <f t="shared" si="0"/>
        <v>91968</v>
      </c>
    </row>
    <row r="68" spans="1:7" ht="15.75">
      <c r="A68" s="3"/>
      <c r="B68" s="263"/>
      <c r="C68" s="251" t="s">
        <v>20</v>
      </c>
      <c r="D68" s="12">
        <v>1</v>
      </c>
      <c r="E68" s="20">
        <f>ROUND(E69*1.2/10,0)*10</f>
        <v>129360</v>
      </c>
      <c r="F68" s="7"/>
      <c r="G68" s="10">
        <f t="shared" si="0"/>
        <v>155232</v>
      </c>
    </row>
    <row r="69" spans="1:7" ht="15.75">
      <c r="A69" s="3"/>
      <c r="B69" s="263"/>
      <c r="C69" s="259"/>
      <c r="D69" s="12">
        <v>2</v>
      </c>
      <c r="E69" s="16">
        <v>107800</v>
      </c>
      <c r="F69" s="7"/>
      <c r="G69" s="10">
        <f t="shared" si="0"/>
        <v>129360</v>
      </c>
    </row>
    <row r="70" spans="1:7" ht="16.5" thickBot="1">
      <c r="A70" s="3"/>
      <c r="B70" s="264"/>
      <c r="C70" s="252"/>
      <c r="D70" s="15">
        <v>3</v>
      </c>
      <c r="E70" s="17">
        <f>ROUND(E69*0.8/10,0)*10</f>
        <v>86240</v>
      </c>
      <c r="F70" s="7"/>
      <c r="G70" s="10">
        <f t="shared" si="0"/>
        <v>103488</v>
      </c>
    </row>
    <row r="71" spans="1:7" ht="15.75">
      <c r="A71" s="245" t="s">
        <v>45</v>
      </c>
      <c r="B71" s="245"/>
      <c r="C71" s="245"/>
      <c r="D71" s="245"/>
      <c r="E71" s="245"/>
      <c r="F71" s="245"/>
      <c r="G71" s="10"/>
    </row>
    <row r="72" spans="1:7" ht="16.5" thickBot="1">
      <c r="A72" s="245" t="s">
        <v>46</v>
      </c>
      <c r="B72" s="245"/>
      <c r="C72" s="245"/>
      <c r="D72" s="245"/>
      <c r="E72" s="245"/>
      <c r="F72" s="245"/>
      <c r="G72" s="10"/>
    </row>
    <row r="73" spans="1:7" ht="30.75" thickBot="1">
      <c r="A73" s="2"/>
      <c r="B73" s="4" t="s">
        <v>3</v>
      </c>
      <c r="C73" s="5" t="s">
        <v>5</v>
      </c>
      <c r="D73" s="5" t="s">
        <v>4</v>
      </c>
      <c r="E73" s="6" t="s">
        <v>6</v>
      </c>
      <c r="F73" s="2"/>
      <c r="G73" s="10"/>
    </row>
    <row r="74" spans="1:7" ht="15.75">
      <c r="A74" s="2"/>
      <c r="B74" s="247">
        <v>1.5</v>
      </c>
      <c r="C74" s="251" t="s">
        <v>47</v>
      </c>
      <c r="D74" s="14" t="s">
        <v>22</v>
      </c>
      <c r="E74" s="20">
        <f>ROUND(E75*1.2/10,0)*10</f>
        <v>439200</v>
      </c>
      <c r="F74" s="2"/>
      <c r="G74" s="10">
        <f t="shared" si="0"/>
        <v>527040</v>
      </c>
    </row>
    <row r="75" spans="1:7" ht="16.5" thickBot="1">
      <c r="A75" s="2"/>
      <c r="B75" s="248"/>
      <c r="C75" s="252"/>
      <c r="D75" s="15" t="s">
        <v>23</v>
      </c>
      <c r="E75" s="17">
        <v>366000</v>
      </c>
      <c r="F75" s="2"/>
      <c r="G75" s="10">
        <f t="shared" si="0"/>
        <v>439200</v>
      </c>
    </row>
    <row r="76" spans="1:7" ht="16.5" thickBot="1">
      <c r="A76" s="245" t="s">
        <v>48</v>
      </c>
      <c r="B76" s="245"/>
      <c r="C76" s="245"/>
      <c r="D76" s="245"/>
      <c r="E76" s="245"/>
      <c r="F76" s="245"/>
      <c r="G76" s="10"/>
    </row>
    <row r="77" spans="1:7" ht="30.75" thickBot="1">
      <c r="A77" s="3"/>
      <c r="B77" s="4" t="s">
        <v>3</v>
      </c>
      <c r="C77" s="5" t="s">
        <v>5</v>
      </c>
      <c r="D77" s="5" t="s">
        <v>4</v>
      </c>
      <c r="E77" s="6" t="s">
        <v>6</v>
      </c>
      <c r="F77" s="3"/>
      <c r="G77" s="10"/>
    </row>
    <row r="78" spans="1:7" ht="15" customHeight="1">
      <c r="A78" s="3"/>
      <c r="B78" s="246" t="s">
        <v>12</v>
      </c>
      <c r="C78" s="249" t="s">
        <v>21</v>
      </c>
      <c r="D78" s="12" t="s">
        <v>22</v>
      </c>
      <c r="E78" s="16">
        <f>ROUND(E79*1.2/10,0)*10</f>
        <v>362880</v>
      </c>
      <c r="F78" s="7"/>
      <c r="G78" s="10">
        <f t="shared" si="0"/>
        <v>435456</v>
      </c>
    </row>
    <row r="79" spans="1:7" ht="15.75">
      <c r="A79" s="3"/>
      <c r="B79" s="247"/>
      <c r="C79" s="250"/>
      <c r="D79" s="12" t="s">
        <v>23</v>
      </c>
      <c r="E79" s="19">
        <v>302400</v>
      </c>
      <c r="F79" s="7"/>
      <c r="G79" s="10">
        <f t="shared" si="0"/>
        <v>362880</v>
      </c>
    </row>
    <row r="80" spans="1:7" ht="15.75">
      <c r="A80" s="3"/>
      <c r="B80" s="247"/>
      <c r="C80" s="251" t="s">
        <v>13</v>
      </c>
      <c r="D80" s="14" t="s">
        <v>22</v>
      </c>
      <c r="E80" s="20">
        <f>ROUND(E81*1.2/10,0)*10</f>
        <v>402000</v>
      </c>
      <c r="F80" s="7"/>
      <c r="G80" s="10">
        <f t="shared" si="0"/>
        <v>482400</v>
      </c>
    </row>
    <row r="81" spans="1:7" ht="16.5" thickBot="1">
      <c r="A81" s="3"/>
      <c r="B81" s="248"/>
      <c r="C81" s="252"/>
      <c r="D81" s="15" t="s">
        <v>23</v>
      </c>
      <c r="E81" s="17">
        <v>335000</v>
      </c>
      <c r="F81" s="7"/>
      <c r="G81" s="10">
        <f t="shared" si="0"/>
        <v>402000</v>
      </c>
    </row>
    <row r="82" spans="1:7" ht="16.5" thickBot="1">
      <c r="A82" s="245" t="s">
        <v>49</v>
      </c>
      <c r="B82" s="245"/>
      <c r="C82" s="245"/>
      <c r="D82" s="245"/>
      <c r="E82" s="245"/>
      <c r="F82" s="245"/>
      <c r="G82" s="10">
        <f t="shared" si="0"/>
        <v>0</v>
      </c>
    </row>
    <row r="83" spans="1:7" ht="30.75" thickBot="1">
      <c r="A83" s="3"/>
      <c r="B83" s="4" t="s">
        <v>3</v>
      </c>
      <c r="C83" s="5" t="s">
        <v>5</v>
      </c>
      <c r="D83" s="5" t="s">
        <v>4</v>
      </c>
      <c r="E83" s="6" t="s">
        <v>6</v>
      </c>
      <c r="F83" s="7"/>
      <c r="G83" s="10" t="e">
        <f t="shared" si="0"/>
        <v>#VALUE!</v>
      </c>
    </row>
    <row r="84" spans="1:7" ht="15.75">
      <c r="A84" s="3"/>
      <c r="B84" s="246" t="s">
        <v>12</v>
      </c>
      <c r="C84" s="249" t="s">
        <v>21</v>
      </c>
      <c r="D84" s="12" t="s">
        <v>22</v>
      </c>
      <c r="E84" s="16">
        <f>ROUND(E85*1.2/10,0)*10</f>
        <v>200640</v>
      </c>
      <c r="F84" s="7"/>
      <c r="G84" s="10">
        <f t="shared" si="0"/>
        <v>240768</v>
      </c>
    </row>
    <row r="85" spans="1:7" ht="15.75">
      <c r="A85" s="3"/>
      <c r="B85" s="247"/>
      <c r="C85" s="250"/>
      <c r="D85" s="12" t="s">
        <v>23</v>
      </c>
      <c r="E85" s="19">
        <v>167200</v>
      </c>
      <c r="F85" s="7"/>
      <c r="G85" s="10">
        <f t="shared" si="0"/>
        <v>200640</v>
      </c>
    </row>
    <row r="86" spans="1:7" ht="15.75">
      <c r="A86" s="3"/>
      <c r="B86" s="247"/>
      <c r="C86" s="251" t="s">
        <v>13</v>
      </c>
      <c r="D86" s="14" t="s">
        <v>22</v>
      </c>
      <c r="E86" s="20">
        <f>ROUND(E87*1.2/10,0)*10</f>
        <v>212520</v>
      </c>
      <c r="F86" s="7"/>
      <c r="G86" s="10">
        <f t="shared" si="0"/>
        <v>255024</v>
      </c>
    </row>
    <row r="87" spans="1:7" ht="16.5" thickBot="1">
      <c r="A87" s="3"/>
      <c r="B87" s="248"/>
      <c r="C87" s="252"/>
      <c r="D87" s="15" t="s">
        <v>23</v>
      </c>
      <c r="E87" s="17">
        <v>177100</v>
      </c>
      <c r="F87" s="7"/>
      <c r="G87" s="10">
        <f t="shared" si="0"/>
        <v>212520</v>
      </c>
    </row>
    <row r="88" spans="1:7" ht="15.75">
      <c r="A88" s="245" t="s">
        <v>50</v>
      </c>
      <c r="B88" s="245"/>
      <c r="C88" s="245"/>
      <c r="D88" s="245"/>
      <c r="E88" s="245"/>
      <c r="F88" s="245"/>
      <c r="G88" s="10"/>
    </row>
    <row r="89" spans="1:7" ht="16.5" thickBot="1">
      <c r="A89" s="245" t="s">
        <v>51</v>
      </c>
      <c r="B89" s="245"/>
      <c r="C89" s="245"/>
      <c r="D89" s="245"/>
      <c r="E89" s="245"/>
      <c r="F89" s="245"/>
      <c r="G89" s="10"/>
    </row>
    <row r="90" spans="1:7" ht="30.75" thickBot="1">
      <c r="A90" s="3"/>
      <c r="B90" s="4" t="s">
        <v>3</v>
      </c>
      <c r="C90" s="5" t="s">
        <v>5</v>
      </c>
      <c r="D90" s="5" t="s">
        <v>4</v>
      </c>
      <c r="E90" s="6" t="s">
        <v>6</v>
      </c>
      <c r="F90" s="3"/>
      <c r="G90" s="10"/>
    </row>
    <row r="91" spans="1:7" ht="15.75">
      <c r="A91" s="3"/>
      <c r="B91" s="246" t="s">
        <v>52</v>
      </c>
      <c r="C91" s="249" t="s">
        <v>21</v>
      </c>
      <c r="D91" s="12" t="s">
        <v>22</v>
      </c>
      <c r="E91" s="16">
        <f>ROUND(E92*1.2/10,0)*10</f>
        <v>214680</v>
      </c>
      <c r="F91" s="7"/>
      <c r="G91" s="10">
        <f t="shared" si="0"/>
        <v>257616</v>
      </c>
    </row>
    <row r="92" spans="1:7" ht="15.75">
      <c r="A92" s="3"/>
      <c r="B92" s="247"/>
      <c r="C92" s="250"/>
      <c r="D92" s="12" t="s">
        <v>23</v>
      </c>
      <c r="E92" s="19">
        <v>178900</v>
      </c>
      <c r="F92" s="7"/>
      <c r="G92" s="10">
        <f t="shared" si="0"/>
        <v>214680</v>
      </c>
    </row>
    <row r="93" spans="1:7" ht="15.75">
      <c r="A93" s="3"/>
      <c r="B93" s="247"/>
      <c r="C93" s="251" t="s">
        <v>13</v>
      </c>
      <c r="D93" s="14" t="s">
        <v>22</v>
      </c>
      <c r="E93" s="20">
        <f>ROUND(E94*1.2/10,0)*10</f>
        <v>232080</v>
      </c>
      <c r="F93" s="7"/>
      <c r="G93" s="10">
        <f t="shared" si="0"/>
        <v>278496</v>
      </c>
    </row>
    <row r="94" spans="1:7" ht="16.5" thickBot="1">
      <c r="A94" s="3"/>
      <c r="B94" s="248"/>
      <c r="C94" s="252"/>
      <c r="D94" s="15" t="s">
        <v>23</v>
      </c>
      <c r="E94" s="17">
        <v>193400</v>
      </c>
      <c r="F94" s="7"/>
      <c r="G94" s="10">
        <f t="shared" si="0"/>
        <v>232080</v>
      </c>
    </row>
    <row r="95" spans="1:7" ht="15.75">
      <c r="A95" s="256" t="s">
        <v>53</v>
      </c>
      <c r="B95" s="256"/>
      <c r="C95" s="256"/>
      <c r="D95" s="256"/>
      <c r="E95" s="256"/>
      <c r="F95" s="256"/>
      <c r="G95" s="10"/>
    </row>
    <row r="96" spans="1:7" ht="16.5" thickBot="1">
      <c r="A96" s="245" t="s">
        <v>54</v>
      </c>
      <c r="B96" s="245"/>
      <c r="C96" s="245"/>
      <c r="D96" s="245"/>
      <c r="E96" s="245"/>
      <c r="F96" s="245"/>
      <c r="G96" s="10"/>
    </row>
    <row r="97" spans="1:7" ht="30.75" thickBot="1">
      <c r="A97" s="3"/>
      <c r="B97" s="4" t="s">
        <v>3</v>
      </c>
      <c r="C97" s="5" t="s">
        <v>5</v>
      </c>
      <c r="D97" s="5" t="s">
        <v>4</v>
      </c>
      <c r="E97" s="6" t="s">
        <v>6</v>
      </c>
      <c r="F97" s="3"/>
      <c r="G97" s="10"/>
    </row>
    <row r="98" spans="1:7" ht="15.75">
      <c r="A98" s="3"/>
      <c r="B98" s="246" t="s">
        <v>56</v>
      </c>
      <c r="C98" s="249" t="s">
        <v>38</v>
      </c>
      <c r="D98" s="11" t="s">
        <v>22</v>
      </c>
      <c r="E98" s="253">
        <v>101400</v>
      </c>
      <c r="F98" s="7"/>
      <c r="G98" s="255">
        <f t="shared" si="0"/>
        <v>121680</v>
      </c>
    </row>
    <row r="99" spans="1:7" ht="15.75">
      <c r="A99" s="3"/>
      <c r="B99" s="247"/>
      <c r="C99" s="250"/>
      <c r="D99" s="12" t="s">
        <v>23</v>
      </c>
      <c r="E99" s="254"/>
      <c r="F99" s="7"/>
      <c r="G99" s="255"/>
    </row>
    <row r="100" spans="1:7" ht="16.5" thickBot="1">
      <c r="A100" s="3"/>
      <c r="B100" s="248"/>
      <c r="C100" s="22" t="s">
        <v>55</v>
      </c>
      <c r="D100" s="22" t="s">
        <v>29</v>
      </c>
      <c r="E100" s="23">
        <v>91200</v>
      </c>
      <c r="F100" s="7"/>
      <c r="G100" s="10">
        <f t="shared" si="0"/>
        <v>109440</v>
      </c>
    </row>
    <row r="101" spans="1:7" ht="15.75">
      <c r="A101" s="256" t="s">
        <v>57</v>
      </c>
      <c r="B101" s="256"/>
      <c r="C101" s="256"/>
      <c r="D101" s="256"/>
      <c r="E101" s="256"/>
      <c r="F101" s="256"/>
      <c r="G101" s="10"/>
    </row>
    <row r="102" spans="1:7" ht="15.75">
      <c r="A102" s="245" t="s">
        <v>42</v>
      </c>
      <c r="B102" s="245"/>
      <c r="C102" s="245"/>
      <c r="D102" s="245"/>
      <c r="E102" s="245"/>
      <c r="F102" s="245"/>
      <c r="G102" s="10"/>
    </row>
    <row r="103" spans="1:7" ht="16.5" thickBot="1">
      <c r="A103" s="245" t="s">
        <v>43</v>
      </c>
      <c r="B103" s="245"/>
      <c r="C103" s="245"/>
      <c r="D103" s="245"/>
      <c r="E103" s="245"/>
      <c r="F103" s="245"/>
      <c r="G103" s="10"/>
    </row>
    <row r="104" spans="1:7" ht="30.75" thickBot="1">
      <c r="A104" s="3"/>
      <c r="B104" s="4" t="s">
        <v>3</v>
      </c>
      <c r="C104" s="5" t="s">
        <v>5</v>
      </c>
      <c r="D104" s="5" t="s">
        <v>4</v>
      </c>
      <c r="E104" s="6" t="s">
        <v>6</v>
      </c>
      <c r="F104" s="3"/>
      <c r="G104" s="10"/>
    </row>
    <row r="105" spans="1:7" ht="24" customHeight="1" thickBot="1">
      <c r="A105" s="3"/>
      <c r="B105" s="24" t="s">
        <v>59</v>
      </c>
      <c r="C105" s="25" t="s">
        <v>58</v>
      </c>
      <c r="D105" s="25" t="s">
        <v>23</v>
      </c>
      <c r="E105" s="26">
        <v>112900</v>
      </c>
      <c r="F105" s="7"/>
      <c r="G105" s="10">
        <f t="shared" si="0"/>
        <v>135480</v>
      </c>
    </row>
    <row r="106" spans="1:7" ht="16.5" thickBot="1">
      <c r="A106" s="245" t="s">
        <v>44</v>
      </c>
      <c r="B106" s="245"/>
      <c r="C106" s="245"/>
      <c r="D106" s="245"/>
      <c r="E106" s="245"/>
      <c r="F106" s="245"/>
      <c r="G106" s="10"/>
    </row>
    <row r="107" spans="1:7" ht="30.75" thickBot="1">
      <c r="A107" s="3"/>
      <c r="B107" s="4" t="s">
        <v>3</v>
      </c>
      <c r="C107" s="5" t="s">
        <v>5</v>
      </c>
      <c r="D107" s="5" t="s">
        <v>4</v>
      </c>
      <c r="E107" s="6" t="s">
        <v>6</v>
      </c>
      <c r="F107" s="3"/>
      <c r="G107" s="10"/>
    </row>
    <row r="108" spans="1:7" ht="24" customHeight="1" thickBot="1">
      <c r="A108" s="3"/>
      <c r="B108" s="24" t="s">
        <v>59</v>
      </c>
      <c r="C108" s="25" t="s">
        <v>58</v>
      </c>
      <c r="D108" s="25" t="s">
        <v>23</v>
      </c>
      <c r="E108" s="26">
        <v>94400</v>
      </c>
      <c r="F108" s="7"/>
      <c r="G108" s="10">
        <f t="shared" si="0"/>
        <v>113280</v>
      </c>
    </row>
    <row r="109" spans="1:7" ht="15.75">
      <c r="A109" s="265" t="s">
        <v>69</v>
      </c>
      <c r="B109" s="265"/>
      <c r="C109" s="265"/>
      <c r="D109" s="265"/>
      <c r="E109" s="265"/>
      <c r="F109" s="265"/>
      <c r="G109" s="10"/>
    </row>
    <row r="110" spans="1:7" ht="15.75">
      <c r="A110" s="266" t="s">
        <v>10</v>
      </c>
      <c r="B110" s="266"/>
      <c r="C110" s="266"/>
      <c r="D110" s="266"/>
      <c r="E110" s="266"/>
      <c r="F110" s="266"/>
      <c r="G110" s="10"/>
    </row>
    <row r="111" spans="1:7" ht="15.75">
      <c r="A111" s="256" t="s">
        <v>2</v>
      </c>
      <c r="B111" s="256"/>
      <c r="C111" s="256"/>
      <c r="D111" s="256"/>
      <c r="E111" s="256"/>
      <c r="F111" s="256"/>
      <c r="G111" s="10"/>
    </row>
    <row r="112" spans="1:7" ht="15.75">
      <c r="A112" s="245" t="s">
        <v>11</v>
      </c>
      <c r="B112" s="245"/>
      <c r="C112" s="245"/>
      <c r="D112" s="245"/>
      <c r="E112" s="245"/>
      <c r="F112" s="245"/>
      <c r="G112" s="10"/>
    </row>
    <row r="113" spans="1:7" ht="16.5" thickBot="1">
      <c r="A113" s="245" t="s">
        <v>60</v>
      </c>
      <c r="B113" s="245"/>
      <c r="C113" s="245"/>
      <c r="D113" s="245"/>
      <c r="E113" s="245"/>
      <c r="F113" s="245"/>
      <c r="G113" s="10"/>
    </row>
    <row r="114" spans="1:7" ht="30.75" thickBot="1">
      <c r="A114" s="3"/>
      <c r="B114" s="4" t="s">
        <v>3</v>
      </c>
      <c r="C114" s="5" t="s">
        <v>5</v>
      </c>
      <c r="D114" s="5" t="s">
        <v>4</v>
      </c>
      <c r="E114" s="6" t="s">
        <v>6</v>
      </c>
      <c r="F114" s="3"/>
      <c r="G114" s="10"/>
    </row>
    <row r="115" spans="1:7" ht="15.75">
      <c r="A115" s="3"/>
      <c r="B115" s="262" t="s">
        <v>61</v>
      </c>
      <c r="C115" s="249" t="s">
        <v>16</v>
      </c>
      <c r="D115" s="11">
        <v>1</v>
      </c>
      <c r="E115" s="18">
        <f>ROUND(E116*1.2/10,0)*10</f>
        <v>363120</v>
      </c>
      <c r="F115" s="7"/>
      <c r="G115" s="10">
        <f t="shared" si="0"/>
        <v>435744</v>
      </c>
    </row>
    <row r="116" spans="1:7" ht="15.75">
      <c r="A116" s="3"/>
      <c r="B116" s="263"/>
      <c r="C116" s="259"/>
      <c r="D116" s="12">
        <v>2</v>
      </c>
      <c r="E116" s="16">
        <v>302600</v>
      </c>
      <c r="F116" s="7"/>
      <c r="G116" s="10">
        <f t="shared" si="0"/>
        <v>363120</v>
      </c>
    </row>
    <row r="117" spans="1:7" ht="15.75">
      <c r="A117" s="3"/>
      <c r="B117" s="263"/>
      <c r="C117" s="250"/>
      <c r="D117" s="13">
        <v>3</v>
      </c>
      <c r="E117" s="19">
        <f>ROUND(E116*0.8/10,0)*10</f>
        <v>242080</v>
      </c>
      <c r="F117" s="7"/>
      <c r="G117" s="10">
        <f t="shared" si="0"/>
        <v>290496</v>
      </c>
    </row>
    <row r="118" spans="1:7" ht="15.75">
      <c r="A118" s="3"/>
      <c r="B118" s="263"/>
      <c r="C118" s="251" t="s">
        <v>17</v>
      </c>
      <c r="D118" s="12">
        <v>1</v>
      </c>
      <c r="E118" s="20">
        <f>ROUND(E119*1.2/10,0)*10</f>
        <v>544080</v>
      </c>
      <c r="F118" s="7"/>
      <c r="G118" s="10">
        <f t="shared" si="0"/>
        <v>652896</v>
      </c>
    </row>
    <row r="119" spans="1:7" ht="15.75">
      <c r="A119" s="3"/>
      <c r="B119" s="263"/>
      <c r="C119" s="259"/>
      <c r="D119" s="12">
        <v>2</v>
      </c>
      <c r="E119" s="16">
        <v>453400</v>
      </c>
      <c r="F119" s="7"/>
      <c r="G119" s="10">
        <f t="shared" si="0"/>
        <v>544080</v>
      </c>
    </row>
    <row r="120" spans="1:7" ht="15.75">
      <c r="A120" s="3"/>
      <c r="B120" s="263"/>
      <c r="C120" s="250"/>
      <c r="D120" s="13">
        <v>3</v>
      </c>
      <c r="E120" s="19">
        <f>ROUND(E119*0.8/10,0)*10</f>
        <v>362720</v>
      </c>
      <c r="F120" s="7"/>
      <c r="G120" s="10">
        <f t="shared" si="0"/>
        <v>435264</v>
      </c>
    </row>
    <row r="121" spans="1:7" ht="15.75">
      <c r="A121" s="3"/>
      <c r="B121" s="263"/>
      <c r="C121" s="251" t="s">
        <v>62</v>
      </c>
      <c r="D121" s="12">
        <v>1</v>
      </c>
      <c r="E121" s="20">
        <f>ROUND(E122*1.2/10,0)*10</f>
        <v>819480</v>
      </c>
      <c r="F121" s="7"/>
      <c r="G121" s="10">
        <f t="shared" si="0"/>
        <v>983376</v>
      </c>
    </row>
    <row r="122" spans="1:7" ht="15.75">
      <c r="A122" s="3"/>
      <c r="B122" s="263"/>
      <c r="C122" s="259"/>
      <c r="D122" s="12">
        <v>2</v>
      </c>
      <c r="E122" s="16">
        <v>682900</v>
      </c>
      <c r="F122" s="7"/>
      <c r="G122" s="10">
        <f t="shared" si="0"/>
        <v>819480</v>
      </c>
    </row>
    <row r="123" spans="1:7" ht="15.75">
      <c r="A123" s="3"/>
      <c r="B123" s="263"/>
      <c r="C123" s="250"/>
      <c r="D123" s="13">
        <v>3</v>
      </c>
      <c r="E123" s="19">
        <f>ROUND(E122*0.8/10,0)*10</f>
        <v>546320</v>
      </c>
      <c r="F123" s="7"/>
      <c r="G123" s="10">
        <f t="shared" si="0"/>
        <v>655584</v>
      </c>
    </row>
    <row r="124" spans="1:7" ht="15.75">
      <c r="A124" s="3"/>
      <c r="B124" s="263"/>
      <c r="C124" s="251" t="s">
        <v>63</v>
      </c>
      <c r="D124" s="12">
        <v>1</v>
      </c>
      <c r="E124" s="20">
        <f>ROUND(E125*1.2/10,0)*10</f>
        <v>882720</v>
      </c>
      <c r="F124" s="7"/>
      <c r="G124" s="10">
        <f t="shared" si="0"/>
        <v>1059264</v>
      </c>
    </row>
    <row r="125" spans="1:7" ht="15.75">
      <c r="A125" s="3"/>
      <c r="B125" s="263"/>
      <c r="C125" s="259"/>
      <c r="D125" s="12">
        <v>2</v>
      </c>
      <c r="E125" s="16">
        <v>735600</v>
      </c>
      <c r="F125" s="7"/>
      <c r="G125" s="10">
        <f t="shared" si="0"/>
        <v>882720</v>
      </c>
    </row>
    <row r="126" spans="1:7" ht="16.5" thickBot="1">
      <c r="A126" s="3"/>
      <c r="B126" s="264"/>
      <c r="C126" s="252"/>
      <c r="D126" s="15">
        <v>3</v>
      </c>
      <c r="E126" s="21">
        <f>ROUND(E125*0.8/10,0)*10</f>
        <v>588480</v>
      </c>
      <c r="F126" s="7"/>
      <c r="G126" s="10">
        <f t="shared" si="0"/>
        <v>706176</v>
      </c>
    </row>
    <row r="127" spans="1:7" ht="15.75">
      <c r="A127" s="256" t="s">
        <v>64</v>
      </c>
      <c r="B127" s="256"/>
      <c r="C127" s="256"/>
      <c r="D127" s="256"/>
      <c r="E127" s="256"/>
      <c r="F127" s="256"/>
      <c r="G127" s="10"/>
    </row>
    <row r="128" spans="1:7" ht="16.5" thickBot="1">
      <c r="A128" s="245" t="s">
        <v>67</v>
      </c>
      <c r="B128" s="245"/>
      <c r="C128" s="245"/>
      <c r="D128" s="245"/>
      <c r="E128" s="245"/>
      <c r="F128" s="245"/>
      <c r="G128" s="10"/>
    </row>
    <row r="129" spans="1:7" ht="30.75" thickBot="1">
      <c r="A129" s="3"/>
      <c r="B129" s="4" t="s">
        <v>3</v>
      </c>
      <c r="C129" s="5" t="s">
        <v>5</v>
      </c>
      <c r="D129" s="5" t="s">
        <v>4</v>
      </c>
      <c r="E129" s="6" t="s">
        <v>6</v>
      </c>
      <c r="F129" s="3"/>
      <c r="G129" s="10"/>
    </row>
    <row r="130" spans="1:7" ht="15.75">
      <c r="A130" s="3"/>
      <c r="B130" s="246" t="s">
        <v>65</v>
      </c>
      <c r="C130" s="249" t="s">
        <v>66</v>
      </c>
      <c r="D130" s="12" t="s">
        <v>22</v>
      </c>
      <c r="E130" s="16">
        <f>ROUND(E131*1.2/10,0)*10</f>
        <v>1417920</v>
      </c>
      <c r="F130" s="7"/>
      <c r="G130" s="10">
        <f t="shared" si="0"/>
        <v>1701504</v>
      </c>
    </row>
    <row r="131" spans="1:7" ht="15.75">
      <c r="A131" s="3"/>
      <c r="B131" s="247"/>
      <c r="C131" s="250"/>
      <c r="D131" s="12" t="s">
        <v>23</v>
      </c>
      <c r="E131" s="19">
        <v>1181600</v>
      </c>
      <c r="F131" s="7"/>
      <c r="G131" s="10">
        <f t="shared" si="0"/>
        <v>1417920</v>
      </c>
    </row>
    <row r="132" spans="1:7" ht="15.75">
      <c r="A132" s="3"/>
      <c r="B132" s="247"/>
      <c r="C132" s="251" t="s">
        <v>63</v>
      </c>
      <c r="D132" s="14" t="s">
        <v>22</v>
      </c>
      <c r="E132" s="20">
        <f>ROUND(E133*1.2/10,0)*10</f>
        <v>1536000</v>
      </c>
      <c r="F132" s="7"/>
      <c r="G132" s="10">
        <f t="shared" si="0"/>
        <v>1843200</v>
      </c>
    </row>
    <row r="133" spans="1:7" ht="16.5" thickBot="1">
      <c r="A133" s="3"/>
      <c r="B133" s="248"/>
      <c r="C133" s="252"/>
      <c r="D133" s="15" t="s">
        <v>23</v>
      </c>
      <c r="E133" s="17">
        <v>1280000</v>
      </c>
      <c r="F133" s="7"/>
      <c r="G133" s="10">
        <f t="shared" si="0"/>
        <v>1536000</v>
      </c>
    </row>
    <row r="134" spans="1:7" ht="15.75">
      <c r="A134" s="256" t="s">
        <v>68</v>
      </c>
      <c r="B134" s="256"/>
      <c r="C134" s="256"/>
      <c r="D134" s="256"/>
      <c r="E134" s="256"/>
      <c r="F134" s="256"/>
      <c r="G134" s="10"/>
    </row>
    <row r="135" spans="1:7" ht="15.75">
      <c r="A135" s="245" t="s">
        <v>42</v>
      </c>
      <c r="B135" s="245"/>
      <c r="C135" s="245"/>
      <c r="D135" s="245"/>
      <c r="E135" s="245"/>
      <c r="F135" s="245"/>
      <c r="G135" s="10"/>
    </row>
    <row r="136" spans="1:7" ht="16.5" thickBot="1">
      <c r="A136" s="245" t="s">
        <v>60</v>
      </c>
      <c r="B136" s="245"/>
      <c r="C136" s="245"/>
      <c r="D136" s="245"/>
      <c r="E136" s="245"/>
      <c r="F136" s="245"/>
      <c r="G136" s="10"/>
    </row>
    <row r="137" spans="1:7" ht="30.75" thickBot="1">
      <c r="A137" s="3"/>
      <c r="B137" s="4" t="s">
        <v>3</v>
      </c>
      <c r="C137" s="5" t="s">
        <v>5</v>
      </c>
      <c r="D137" s="5" t="s">
        <v>4</v>
      </c>
      <c r="E137" s="6" t="s">
        <v>6</v>
      </c>
      <c r="F137" s="3"/>
      <c r="G137" s="10"/>
    </row>
    <row r="138" spans="1:7" ht="16.5" thickBot="1">
      <c r="A138" s="3"/>
      <c r="B138" s="24" t="s">
        <v>59</v>
      </c>
      <c r="C138" s="25" t="s">
        <v>58</v>
      </c>
      <c r="D138" s="25" t="s">
        <v>23</v>
      </c>
      <c r="E138" s="26">
        <v>265400</v>
      </c>
      <c r="F138" s="7"/>
      <c r="G138" s="10">
        <f t="shared" si="0"/>
        <v>318480</v>
      </c>
    </row>
    <row r="139" spans="1:7" ht="15.75">
      <c r="A139" s="265" t="s">
        <v>70</v>
      </c>
      <c r="B139" s="265"/>
      <c r="C139" s="265"/>
      <c r="D139" s="265"/>
      <c r="E139" s="265"/>
      <c r="F139" s="265"/>
      <c r="G139" s="10"/>
    </row>
    <row r="140" spans="1:7" ht="16.5" thickBot="1">
      <c r="A140" s="266" t="s">
        <v>71</v>
      </c>
      <c r="B140" s="266"/>
      <c r="C140" s="266"/>
      <c r="D140" s="266"/>
      <c r="E140" s="266"/>
      <c r="F140" s="266"/>
      <c r="G140" s="10"/>
    </row>
    <row r="141" spans="1:7" ht="30.75" thickBot="1">
      <c r="A141" s="3"/>
      <c r="B141" s="4" t="s">
        <v>3</v>
      </c>
      <c r="C141" s="5" t="s">
        <v>5</v>
      </c>
      <c r="D141" s="5" t="s">
        <v>74</v>
      </c>
      <c r="E141" s="6" t="s">
        <v>6</v>
      </c>
      <c r="F141" s="7"/>
      <c r="G141" s="10"/>
    </row>
    <row r="142" spans="1:7" ht="15.75" customHeight="1">
      <c r="A142" s="3"/>
      <c r="B142" s="262" t="s">
        <v>39</v>
      </c>
      <c r="C142" s="249" t="s">
        <v>72</v>
      </c>
      <c r="D142" s="270" t="s">
        <v>75</v>
      </c>
      <c r="E142" s="253">
        <v>92100</v>
      </c>
      <c r="F142" s="7"/>
      <c r="G142" s="255">
        <f t="shared" si="0"/>
        <v>110520</v>
      </c>
    </row>
    <row r="143" spans="1:7" ht="15.75" customHeight="1">
      <c r="A143" s="3"/>
      <c r="B143" s="263"/>
      <c r="C143" s="250"/>
      <c r="D143" s="271"/>
      <c r="E143" s="260"/>
      <c r="F143" s="7"/>
      <c r="G143" s="255"/>
    </row>
    <row r="144" spans="1:7" ht="15">
      <c r="A144" s="3"/>
      <c r="B144" s="263"/>
      <c r="C144" s="251" t="s">
        <v>73</v>
      </c>
      <c r="D144" s="273" t="s">
        <v>76</v>
      </c>
      <c r="E144" s="272">
        <v>81500</v>
      </c>
      <c r="F144" s="7"/>
      <c r="G144" s="255">
        <f t="shared" si="0"/>
        <v>97800</v>
      </c>
    </row>
    <row r="145" spans="1:7" ht="15">
      <c r="A145" s="3"/>
      <c r="B145" s="263"/>
      <c r="C145" s="250"/>
      <c r="D145" s="271"/>
      <c r="E145" s="260"/>
      <c r="F145" s="7"/>
      <c r="G145" s="255"/>
    </row>
    <row r="146" spans="1:7" ht="15">
      <c r="A146" s="3"/>
      <c r="B146" s="263"/>
      <c r="C146" s="251" t="s">
        <v>73</v>
      </c>
      <c r="D146" s="273" t="s">
        <v>77</v>
      </c>
      <c r="E146" s="272">
        <v>66300</v>
      </c>
      <c r="F146" s="7"/>
      <c r="G146" s="255">
        <f t="shared" si="0"/>
        <v>79560</v>
      </c>
    </row>
    <row r="147" spans="1:7" ht="15">
      <c r="A147" s="3"/>
      <c r="B147" s="263"/>
      <c r="C147" s="250"/>
      <c r="D147" s="271"/>
      <c r="E147" s="260"/>
      <c r="F147" s="7"/>
      <c r="G147" s="255"/>
    </row>
    <row r="148" spans="1:7" ht="15">
      <c r="A148" s="3"/>
      <c r="B148" s="263"/>
      <c r="C148" s="251" t="s">
        <v>73</v>
      </c>
      <c r="D148" s="273" t="s">
        <v>78</v>
      </c>
      <c r="E148" s="272">
        <v>251000</v>
      </c>
      <c r="F148" s="7"/>
      <c r="G148" s="255">
        <f t="shared" si="0"/>
        <v>301200</v>
      </c>
    </row>
    <row r="149" spans="1:7" ht="15.75" thickBot="1">
      <c r="A149" s="3"/>
      <c r="B149" s="264"/>
      <c r="C149" s="252"/>
      <c r="D149" s="274"/>
      <c r="E149" s="261"/>
      <c r="F149" s="7"/>
      <c r="G149" s="255"/>
    </row>
    <row r="150" spans="1:7" ht="15.75">
      <c r="A150" s="265" t="s">
        <v>79</v>
      </c>
      <c r="B150" s="265"/>
      <c r="C150" s="265"/>
      <c r="D150" s="265"/>
      <c r="E150" s="265"/>
      <c r="F150" s="265"/>
      <c r="G150" s="10"/>
    </row>
    <row r="151" spans="1:7" ht="16.5" thickBot="1">
      <c r="A151" s="266" t="s">
        <v>80</v>
      </c>
      <c r="B151" s="266"/>
      <c r="C151" s="266"/>
      <c r="D151" s="266"/>
      <c r="E151" s="266"/>
      <c r="F151" s="266"/>
      <c r="G151" s="10"/>
    </row>
    <row r="152" spans="1:7" ht="30.75" thickBot="1">
      <c r="A152" s="3"/>
      <c r="B152" s="4" t="s">
        <v>3</v>
      </c>
      <c r="C152" s="5" t="s">
        <v>5</v>
      </c>
      <c r="D152" s="5" t="s">
        <v>74</v>
      </c>
      <c r="E152" s="6" t="s">
        <v>6</v>
      </c>
      <c r="F152" s="7"/>
      <c r="G152" s="10"/>
    </row>
    <row r="153" spans="1:7" ht="16.5" thickBot="1">
      <c r="A153" s="3"/>
      <c r="B153" s="24" t="s">
        <v>81</v>
      </c>
      <c r="C153" s="25" t="s">
        <v>82</v>
      </c>
      <c r="D153" s="25"/>
      <c r="E153" s="26">
        <v>79800</v>
      </c>
      <c r="F153" s="7"/>
      <c r="G153" s="10">
        <f t="shared" si="0"/>
        <v>95760</v>
      </c>
    </row>
    <row r="154" spans="1:7" ht="16.5" thickBot="1">
      <c r="A154" s="265" t="s">
        <v>83</v>
      </c>
      <c r="B154" s="265"/>
      <c r="C154" s="265"/>
      <c r="D154" s="265"/>
      <c r="E154" s="265"/>
      <c r="F154" s="265"/>
      <c r="G154" s="10"/>
    </row>
    <row r="155" spans="1:7" ht="30.75" thickBot="1">
      <c r="A155" s="3"/>
      <c r="B155" s="4"/>
      <c r="C155" s="5"/>
      <c r="D155" s="5"/>
      <c r="E155" s="6" t="s">
        <v>6</v>
      </c>
      <c r="F155" s="7"/>
      <c r="G155" s="10"/>
    </row>
    <row r="156" spans="1:7" ht="16.5" thickBot="1">
      <c r="A156" s="3"/>
      <c r="B156" s="24"/>
      <c r="C156" s="25"/>
      <c r="D156" s="25"/>
      <c r="E156" s="26">
        <v>90500</v>
      </c>
      <c r="F156" s="7"/>
      <c r="G156" s="10">
        <f t="shared" si="0"/>
        <v>108600</v>
      </c>
    </row>
  </sheetData>
  <sheetProtection/>
  <mergeCells count="114">
    <mergeCell ref="E144:E145"/>
    <mergeCell ref="D146:D147"/>
    <mergeCell ref="E146:E147"/>
    <mergeCell ref="C144:C145"/>
    <mergeCell ref="C146:C147"/>
    <mergeCell ref="C148:C149"/>
    <mergeCell ref="D148:D149"/>
    <mergeCell ref="E148:E149"/>
    <mergeCell ref="D144:D145"/>
    <mergeCell ref="A151:F151"/>
    <mergeCell ref="A154:F154"/>
    <mergeCell ref="G98:G99"/>
    <mergeCell ref="G142:G143"/>
    <mergeCell ref="G144:G145"/>
    <mergeCell ref="G146:G147"/>
    <mergeCell ref="G148:G149"/>
    <mergeCell ref="C132:C133"/>
    <mergeCell ref="A127:F127"/>
    <mergeCell ref="A134:F134"/>
    <mergeCell ref="A150:F150"/>
    <mergeCell ref="A139:F139"/>
    <mergeCell ref="A140:F140"/>
    <mergeCell ref="B142:B149"/>
    <mergeCell ref="C142:C143"/>
    <mergeCell ref="A110:F110"/>
    <mergeCell ref="A111:F111"/>
    <mergeCell ref="A112:F112"/>
    <mergeCell ref="E142:E143"/>
    <mergeCell ref="D142:D143"/>
    <mergeCell ref="C118:C120"/>
    <mergeCell ref="A128:F128"/>
    <mergeCell ref="B130:B133"/>
    <mergeCell ref="C130:C131"/>
    <mergeCell ref="A101:F101"/>
    <mergeCell ref="A103:F103"/>
    <mergeCell ref="A113:F113"/>
    <mergeCell ref="B115:B126"/>
    <mergeCell ref="C115:C117"/>
    <mergeCell ref="C121:C123"/>
    <mergeCell ref="C124:C126"/>
    <mergeCell ref="A102:F102"/>
    <mergeCell ref="A106:F106"/>
    <mergeCell ref="A109:F109"/>
    <mergeCell ref="B54:B62"/>
    <mergeCell ref="C54:C56"/>
    <mergeCell ref="C57:C59"/>
    <mergeCell ref="C60:C62"/>
    <mergeCell ref="C65:C67"/>
    <mergeCell ref="B65:B70"/>
    <mergeCell ref="A63:F63"/>
    <mergeCell ref="A22:F22"/>
    <mergeCell ref="A1:F1"/>
    <mergeCell ref="A2:F2"/>
    <mergeCell ref="A3:F3"/>
    <mergeCell ref="A4:F4"/>
    <mergeCell ref="A5:F5"/>
    <mergeCell ref="A6:F6"/>
    <mergeCell ref="A7:F7"/>
    <mergeCell ref="C18:C20"/>
    <mergeCell ref="A21:F21"/>
    <mergeCell ref="A48:F48"/>
    <mergeCell ref="A49:F49"/>
    <mergeCell ref="A50:F50"/>
    <mergeCell ref="A51:F51"/>
    <mergeCell ref="A52:F52"/>
    <mergeCell ref="A38:F38"/>
    <mergeCell ref="A39:F39"/>
    <mergeCell ref="B9:B20"/>
    <mergeCell ref="C9:C11"/>
    <mergeCell ref="C12:C14"/>
    <mergeCell ref="C15:C17"/>
    <mergeCell ref="C46:C47"/>
    <mergeCell ref="A71:F71"/>
    <mergeCell ref="A33:F33"/>
    <mergeCell ref="A34:F34"/>
    <mergeCell ref="B36:B37"/>
    <mergeCell ref="C36:C37"/>
    <mergeCell ref="A72:F72"/>
    <mergeCell ref="C68:C70"/>
    <mergeCell ref="C78:C79"/>
    <mergeCell ref="C80:C81"/>
    <mergeCell ref="B84:B87"/>
    <mergeCell ref="C84:C85"/>
    <mergeCell ref="B78:B81"/>
    <mergeCell ref="A135:F135"/>
    <mergeCell ref="A136:F136"/>
    <mergeCell ref="B24:B26"/>
    <mergeCell ref="C24:C26"/>
    <mergeCell ref="A27:F27"/>
    <mergeCell ref="A28:F28"/>
    <mergeCell ref="B30:B32"/>
    <mergeCell ref="C30:C32"/>
    <mergeCell ref="A44:F44"/>
    <mergeCell ref="B46:B47"/>
    <mergeCell ref="G41:G42"/>
    <mergeCell ref="B74:B75"/>
    <mergeCell ref="C74:C75"/>
    <mergeCell ref="A76:F76"/>
    <mergeCell ref="A82:F82"/>
    <mergeCell ref="A95:F95"/>
    <mergeCell ref="B41:B42"/>
    <mergeCell ref="C41:C42"/>
    <mergeCell ref="E41:E42"/>
    <mergeCell ref="A43:F43"/>
    <mergeCell ref="A96:F96"/>
    <mergeCell ref="B98:B100"/>
    <mergeCell ref="C98:C99"/>
    <mergeCell ref="C86:C87"/>
    <mergeCell ref="A89:F89"/>
    <mergeCell ref="B91:B94"/>
    <mergeCell ref="C91:C92"/>
    <mergeCell ref="C93:C94"/>
    <mergeCell ref="A88:F88"/>
    <mergeCell ref="E98:E99"/>
  </mergeCells>
  <printOptions/>
  <pageMargins left="0.984251968503937" right="0.5905511811023623" top="0.3937007874015748" bottom="0.3937007874015748" header="0.31496062992125984" footer="0.31496062992125984"/>
  <pageSetup horizontalDpi="600" verticalDpi="600" orientation="portrait" paperSize="9" scale="91" r:id="rId1"/>
  <rowBreaks count="3" manualBreakCount="3">
    <brk id="47" max="5" man="1"/>
    <brk id="94" max="5" man="1"/>
    <brk id="13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C2" sqref="C2:D4"/>
    </sheetView>
  </sheetViews>
  <sheetFormatPr defaultColWidth="9.00390625" defaultRowHeight="12.75"/>
  <cols>
    <col min="1" max="1" width="4.625" style="31" customWidth="1"/>
    <col min="2" max="2" width="45.25390625" style="31" customWidth="1"/>
    <col min="3" max="3" width="14.00390625" style="31" customWidth="1"/>
    <col min="4" max="4" width="33.00390625" style="31" customWidth="1"/>
    <col min="5" max="16384" width="9.125" style="31" customWidth="1"/>
  </cols>
  <sheetData>
    <row r="2" spans="3:4" ht="18.75">
      <c r="C2" s="375"/>
      <c r="D2" s="375"/>
    </row>
    <row r="3" spans="3:4" ht="18.75">
      <c r="C3" s="376"/>
      <c r="D3" s="376"/>
    </row>
    <row r="4" spans="3:4" ht="18.75">
      <c r="C4" s="377"/>
      <c r="D4" s="377"/>
    </row>
    <row r="5" spans="3:4" ht="18.75">
      <c r="C5" s="74"/>
      <c r="D5" s="74"/>
    </row>
    <row r="6" spans="2:8" ht="47.25" customHeight="1">
      <c r="B6" s="382" t="s">
        <v>156</v>
      </c>
      <c r="C6" s="382"/>
      <c r="D6" s="382"/>
      <c r="E6" s="44"/>
      <c r="F6" s="44"/>
      <c r="G6" s="44"/>
      <c r="H6" s="44"/>
    </row>
    <row r="8" spans="2:4" ht="48" customHeight="1">
      <c r="B8" s="33" t="s">
        <v>133</v>
      </c>
      <c r="C8" s="33" t="s">
        <v>134</v>
      </c>
      <c r="D8" s="38" t="s">
        <v>135</v>
      </c>
    </row>
    <row r="9" spans="2:4" ht="21" customHeight="1">
      <c r="B9" s="42" t="s">
        <v>157</v>
      </c>
      <c r="C9" s="45" t="s">
        <v>147</v>
      </c>
      <c r="D9" s="49">
        <f>(2*2.5%)+2</f>
        <v>2.05</v>
      </c>
    </row>
    <row r="10" spans="2:4" ht="18.75">
      <c r="B10" s="42" t="s">
        <v>158</v>
      </c>
      <c r="C10" s="45" t="s">
        <v>147</v>
      </c>
      <c r="D10" s="49">
        <f>(2*2.5%)+2</f>
        <v>2.05</v>
      </c>
    </row>
    <row r="11" spans="2:4" ht="18.75">
      <c r="B11" s="42" t="s">
        <v>159</v>
      </c>
      <c r="C11" s="45" t="s">
        <v>147</v>
      </c>
      <c r="D11" s="49">
        <f>(3*2.5%)+3</f>
        <v>3.075</v>
      </c>
    </row>
    <row r="12" spans="2:4" ht="18.75">
      <c r="B12" s="36" t="s">
        <v>160</v>
      </c>
      <c r="C12" s="37" t="s">
        <v>147</v>
      </c>
      <c r="D12" s="54">
        <f>(2*2.5%)+2</f>
        <v>2.05</v>
      </c>
    </row>
  </sheetData>
  <sheetProtection/>
  <mergeCells count="4">
    <mergeCell ref="B6:D6"/>
    <mergeCell ref="C2:D2"/>
    <mergeCell ref="C3:D3"/>
    <mergeCell ref="C4:D4"/>
  </mergeCells>
  <printOptions/>
  <pageMargins left="0.21" right="0.21" top="0.3" bottom="0.75" header="0.18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77"/>
  <sheetViews>
    <sheetView zoomScale="130" zoomScaleNormal="130" zoomScaleSheetLayoutView="70" zoomScalePageLayoutView="0" workbookViewId="0" topLeftCell="A4">
      <selection activeCell="E2" sqref="E2:F4"/>
    </sheetView>
  </sheetViews>
  <sheetFormatPr defaultColWidth="9.00390625" defaultRowHeight="12.75"/>
  <cols>
    <col min="1" max="1" width="2.75390625" style="31" customWidth="1"/>
    <col min="2" max="2" width="30.625" style="31" customWidth="1"/>
    <col min="3" max="3" width="13.75390625" style="31" customWidth="1"/>
    <col min="4" max="4" width="17.25390625" style="31" customWidth="1"/>
    <col min="5" max="5" width="20.375" style="31" customWidth="1"/>
    <col min="6" max="6" width="23.875" style="31" customWidth="1"/>
    <col min="7" max="7" width="9.125" style="31" customWidth="1"/>
    <col min="8" max="8" width="15.25390625" style="31" customWidth="1"/>
    <col min="9" max="9" width="11.625" style="31" bestFit="1" customWidth="1"/>
    <col min="10" max="16384" width="9.125" style="31" customWidth="1"/>
  </cols>
  <sheetData>
    <row r="1" ht="18.75">
      <c r="F1" s="101"/>
    </row>
    <row r="2" spans="4:6" ht="18.75">
      <c r="D2" s="216"/>
      <c r="E2" s="375"/>
      <c r="F2" s="375"/>
    </row>
    <row r="3" spans="4:6" ht="18.75">
      <c r="D3" s="82"/>
      <c r="E3" s="82"/>
      <c r="F3" s="74"/>
    </row>
    <row r="4" spans="4:6" ht="18.75">
      <c r="D4" s="82"/>
      <c r="E4" s="377"/>
      <c r="F4" s="377"/>
    </row>
    <row r="5" spans="4:6" ht="18.75">
      <c r="D5" s="82"/>
      <c r="E5" s="82"/>
      <c r="F5" s="74"/>
    </row>
    <row r="6" spans="2:9" ht="39.75" customHeight="1">
      <c r="B6" s="398" t="s">
        <v>162</v>
      </c>
      <c r="C6" s="398"/>
      <c r="D6" s="398"/>
      <c r="E6" s="398"/>
      <c r="F6" s="398"/>
      <c r="G6" s="55"/>
      <c r="H6" s="56"/>
      <c r="I6" s="56"/>
    </row>
    <row r="7" spans="2:9" ht="22.5" customHeight="1">
      <c r="B7" s="55"/>
      <c r="C7" s="55"/>
      <c r="D7" s="55"/>
      <c r="E7" s="55"/>
      <c r="F7" s="55"/>
      <c r="G7" s="55"/>
      <c r="H7" s="56"/>
      <c r="I7" s="56"/>
    </row>
    <row r="8" spans="2:6" ht="39.75" customHeight="1">
      <c r="B8" s="388" t="s">
        <v>143</v>
      </c>
      <c r="C8" s="388" t="s">
        <v>163</v>
      </c>
      <c r="D8" s="388" t="s">
        <v>164</v>
      </c>
      <c r="E8" s="396" t="s">
        <v>165</v>
      </c>
      <c r="F8" s="396"/>
    </row>
    <row r="9" spans="2:6" ht="38.25" customHeight="1">
      <c r="B9" s="388"/>
      <c r="C9" s="388"/>
      <c r="D9" s="388"/>
      <c r="E9" s="215" t="s">
        <v>214</v>
      </c>
      <c r="F9" s="215" t="s">
        <v>166</v>
      </c>
    </row>
    <row r="10" spans="2:9" ht="20.25" customHeight="1">
      <c r="B10" s="389" t="s">
        <v>167</v>
      </c>
      <c r="C10" s="37">
        <v>0</v>
      </c>
      <c r="D10" s="57" t="s">
        <v>168</v>
      </c>
      <c r="E10" s="54">
        <f aca="true" t="shared" si="0" ref="E10:E18">H10</f>
        <v>232.2</v>
      </c>
      <c r="F10" s="54">
        <f aca="true" t="shared" si="1" ref="F10:F18">I10</f>
        <v>149.5</v>
      </c>
      <c r="H10" s="218">
        <f>ROUND(H11*1.1,1)</f>
        <v>232.2</v>
      </c>
      <c r="I10" s="218">
        <f>ROUND(I11*1.1,1)</f>
        <v>149.5</v>
      </c>
    </row>
    <row r="11" spans="2:9" ht="18.75">
      <c r="B11" s="390"/>
      <c r="C11" s="37"/>
      <c r="D11" s="57">
        <v>25</v>
      </c>
      <c r="E11" s="54">
        <f t="shared" si="0"/>
        <v>211.1</v>
      </c>
      <c r="F11" s="54">
        <f t="shared" si="1"/>
        <v>135.9</v>
      </c>
      <c r="H11" s="218">
        <f>ROUND(E19*1.56,1)</f>
        <v>211.1</v>
      </c>
      <c r="I11" s="218">
        <f>ROUND(F19*1.56,1)</f>
        <v>135.9</v>
      </c>
    </row>
    <row r="12" spans="2:9" ht="18.75">
      <c r="B12" s="77"/>
      <c r="C12" s="37"/>
      <c r="D12" s="58">
        <v>32.4</v>
      </c>
      <c r="E12" s="54">
        <f t="shared" si="0"/>
        <v>253.3</v>
      </c>
      <c r="F12" s="54">
        <f t="shared" si="1"/>
        <v>163.1</v>
      </c>
      <c r="H12" s="218">
        <f>ROUND(H11*1.2,1)</f>
        <v>253.3</v>
      </c>
      <c r="I12" s="218">
        <f>ROUND(I11*1.2,1)</f>
        <v>163.1</v>
      </c>
    </row>
    <row r="13" spans="2:9" ht="18.75">
      <c r="B13" s="36"/>
      <c r="C13" s="37"/>
      <c r="D13" s="57" t="s">
        <v>169</v>
      </c>
      <c r="E13" s="54">
        <f t="shared" si="0"/>
        <v>274.4</v>
      </c>
      <c r="F13" s="54">
        <f t="shared" si="1"/>
        <v>176.7</v>
      </c>
      <c r="H13" s="218">
        <f>ROUND(H11*1.3,1)</f>
        <v>274.4</v>
      </c>
      <c r="I13" s="218">
        <f>ROUND(I11*1.3,1)</f>
        <v>176.7</v>
      </c>
    </row>
    <row r="14" spans="2:9" ht="18.75">
      <c r="B14" s="36"/>
      <c r="C14" s="37">
        <v>1</v>
      </c>
      <c r="D14" s="57" t="s">
        <v>168</v>
      </c>
      <c r="E14" s="54">
        <f t="shared" si="0"/>
        <v>178.6</v>
      </c>
      <c r="F14" s="54">
        <f t="shared" si="1"/>
        <v>115.1</v>
      </c>
      <c r="H14" s="218">
        <f>ROUND(H15*1.1,1)</f>
        <v>178.6</v>
      </c>
      <c r="I14" s="218">
        <f>ROUND(I15*1.1,1)</f>
        <v>115.1</v>
      </c>
    </row>
    <row r="15" spans="2:9" ht="18.75">
      <c r="B15" s="36"/>
      <c r="C15" s="37"/>
      <c r="D15" s="57">
        <v>25</v>
      </c>
      <c r="E15" s="54">
        <f t="shared" si="0"/>
        <v>162.4</v>
      </c>
      <c r="F15" s="54">
        <f t="shared" si="1"/>
        <v>104.6</v>
      </c>
      <c r="H15" s="218">
        <f>ROUND(E19*1.2,1)</f>
        <v>162.4</v>
      </c>
      <c r="I15" s="218">
        <f>ROUND(F19*1.2,1)</f>
        <v>104.6</v>
      </c>
    </row>
    <row r="16" spans="2:9" ht="18.75">
      <c r="B16" s="36"/>
      <c r="C16" s="37"/>
      <c r="D16" s="58">
        <v>32.4</v>
      </c>
      <c r="E16" s="54">
        <f t="shared" si="0"/>
        <v>194.9</v>
      </c>
      <c r="F16" s="54">
        <f t="shared" si="1"/>
        <v>125.5</v>
      </c>
      <c r="H16" s="31">
        <f>ROUND(H15*1.2,1)</f>
        <v>194.9</v>
      </c>
      <c r="I16" s="31">
        <f>ROUND(I15*1.2,1)</f>
        <v>125.5</v>
      </c>
    </row>
    <row r="17" spans="2:9" ht="18.75">
      <c r="B17" s="36"/>
      <c r="C17" s="37"/>
      <c r="D17" s="57" t="s">
        <v>169</v>
      </c>
      <c r="E17" s="54">
        <f t="shared" si="0"/>
        <v>211.1</v>
      </c>
      <c r="F17" s="54">
        <f t="shared" si="1"/>
        <v>136</v>
      </c>
      <c r="H17" s="31">
        <f>ROUND(H15*1.3,1)</f>
        <v>211.1</v>
      </c>
      <c r="I17" s="31">
        <f>ROUND(I15*1.3,1)</f>
        <v>136</v>
      </c>
    </row>
    <row r="18" spans="2:9" ht="18.75">
      <c r="B18" s="36"/>
      <c r="C18" s="37">
        <v>2</v>
      </c>
      <c r="D18" s="57" t="s">
        <v>168</v>
      </c>
      <c r="E18" s="54">
        <f t="shared" si="0"/>
        <v>148.8</v>
      </c>
      <c r="F18" s="54">
        <f t="shared" si="1"/>
        <v>95.8</v>
      </c>
      <c r="H18" s="31">
        <f>ROUND(E19*1.1,1)</f>
        <v>148.8</v>
      </c>
      <c r="I18" s="31">
        <f>ROUND(F19*1.1,1)</f>
        <v>95.8</v>
      </c>
    </row>
    <row r="19" spans="2:6" ht="18.75">
      <c r="B19" s="36"/>
      <c r="C19" s="37"/>
      <c r="D19" s="57">
        <v>25</v>
      </c>
      <c r="E19" s="73">
        <f>(132*2.5%)+132</f>
        <v>135.3</v>
      </c>
      <c r="F19" s="73">
        <f>(85*2.5%)+85</f>
        <v>87.125</v>
      </c>
    </row>
    <row r="20" spans="2:9" ht="18.75">
      <c r="B20" s="36"/>
      <c r="C20" s="37"/>
      <c r="D20" s="58">
        <v>32.4</v>
      </c>
      <c r="E20" s="54">
        <f aca="true" t="shared" si="2" ref="E20:E29">H20</f>
        <v>162.4</v>
      </c>
      <c r="F20" s="54">
        <f aca="true" t="shared" si="3" ref="F20:F29">I20</f>
        <v>104.6</v>
      </c>
      <c r="H20" s="31">
        <f>ROUND(E19*1.2,1)</f>
        <v>162.4</v>
      </c>
      <c r="I20" s="31">
        <f>ROUND(F19*1.2,1)</f>
        <v>104.6</v>
      </c>
    </row>
    <row r="21" spans="2:9" ht="18.75">
      <c r="B21" s="36"/>
      <c r="C21" s="37"/>
      <c r="D21" s="57" t="s">
        <v>169</v>
      </c>
      <c r="E21" s="54">
        <f t="shared" si="2"/>
        <v>175.9</v>
      </c>
      <c r="F21" s="54">
        <f t="shared" si="3"/>
        <v>113.3</v>
      </c>
      <c r="H21" s="31">
        <f>ROUND(E19*1.3,1)</f>
        <v>175.9</v>
      </c>
      <c r="I21" s="31">
        <f>ROUND(F19*1.3,1)</f>
        <v>113.3</v>
      </c>
    </row>
    <row r="22" spans="2:9" ht="18.75">
      <c r="B22" s="36"/>
      <c r="C22" s="37">
        <v>3</v>
      </c>
      <c r="D22" s="57" t="s">
        <v>168</v>
      </c>
      <c r="E22" s="54">
        <f t="shared" si="2"/>
        <v>119</v>
      </c>
      <c r="F22" s="54">
        <f t="shared" si="3"/>
        <v>76.7</v>
      </c>
      <c r="H22" s="31">
        <f>ROUND(H23*1.1,1)</f>
        <v>119</v>
      </c>
      <c r="I22" s="217">
        <f>ROUND(I23*1.1,1)</f>
        <v>76.7</v>
      </c>
    </row>
    <row r="23" spans="2:9" ht="18.75">
      <c r="B23" s="36"/>
      <c r="C23" s="37"/>
      <c r="D23" s="57">
        <v>25</v>
      </c>
      <c r="E23" s="54">
        <f t="shared" si="2"/>
        <v>108.2</v>
      </c>
      <c r="F23" s="54">
        <f t="shared" si="3"/>
        <v>69.7</v>
      </c>
      <c r="H23" s="31">
        <f>ROUND(E19*0.8,1)</f>
        <v>108.2</v>
      </c>
      <c r="I23" s="217">
        <f>ROUND(F19*0.8,1)</f>
        <v>69.7</v>
      </c>
    </row>
    <row r="24" spans="2:9" ht="18.75">
      <c r="B24" s="36"/>
      <c r="C24" s="37"/>
      <c r="D24" s="58">
        <v>32.4</v>
      </c>
      <c r="E24" s="54">
        <f t="shared" si="2"/>
        <v>129.8</v>
      </c>
      <c r="F24" s="54">
        <f t="shared" si="3"/>
        <v>83.6</v>
      </c>
      <c r="H24" s="31">
        <f>ROUND(H23*1.2,1)</f>
        <v>129.8</v>
      </c>
      <c r="I24" s="31">
        <f>ROUND(I23*1.2,1)</f>
        <v>83.6</v>
      </c>
    </row>
    <row r="25" spans="2:9" ht="18.75">
      <c r="B25" s="36"/>
      <c r="C25" s="37"/>
      <c r="D25" s="57" t="s">
        <v>169</v>
      </c>
      <c r="E25" s="54">
        <f t="shared" si="2"/>
        <v>140.7</v>
      </c>
      <c r="F25" s="54">
        <f t="shared" si="3"/>
        <v>90.6</v>
      </c>
      <c r="H25" s="31">
        <f>ROUND(H23*1.3,1)</f>
        <v>140.7</v>
      </c>
      <c r="I25" s="31">
        <f>ROUND(I23*1.3,1)</f>
        <v>90.6</v>
      </c>
    </row>
    <row r="26" spans="2:9" ht="18.75">
      <c r="B26" s="36"/>
      <c r="C26" s="37">
        <v>4</v>
      </c>
      <c r="D26" s="57" t="s">
        <v>168</v>
      </c>
      <c r="E26" s="54">
        <f t="shared" si="2"/>
        <v>83.4</v>
      </c>
      <c r="F26" s="54">
        <f t="shared" si="3"/>
        <v>53.7</v>
      </c>
      <c r="H26" s="31">
        <f>ROUND(H27*1.1,1)</f>
        <v>83.4</v>
      </c>
      <c r="I26" s="31">
        <f>ROUND(I27*1.1,1)</f>
        <v>53.7</v>
      </c>
    </row>
    <row r="27" spans="2:9" ht="18.75">
      <c r="B27" s="36"/>
      <c r="C27" s="37"/>
      <c r="D27" s="57">
        <v>25</v>
      </c>
      <c r="E27" s="54">
        <f t="shared" si="2"/>
        <v>75.8</v>
      </c>
      <c r="F27" s="54">
        <f t="shared" si="3"/>
        <v>48.8</v>
      </c>
      <c r="H27" s="31">
        <f>ROUND(E19*0.56,1)</f>
        <v>75.8</v>
      </c>
      <c r="I27" s="31">
        <f>ROUND(F19*0.56,1)</f>
        <v>48.8</v>
      </c>
    </row>
    <row r="28" spans="2:9" ht="18.75">
      <c r="B28" s="36"/>
      <c r="C28" s="37"/>
      <c r="D28" s="58">
        <v>32.4</v>
      </c>
      <c r="E28" s="54">
        <f t="shared" si="2"/>
        <v>91</v>
      </c>
      <c r="F28" s="54">
        <f t="shared" si="3"/>
        <v>58.6</v>
      </c>
      <c r="H28" s="31">
        <f>ROUND(H27*1.2,1)</f>
        <v>91</v>
      </c>
      <c r="I28" s="31">
        <f>ROUND(I27*1.2,1)</f>
        <v>58.6</v>
      </c>
    </row>
    <row r="29" spans="2:9" ht="18.75">
      <c r="B29" s="36"/>
      <c r="C29" s="37"/>
      <c r="D29" s="57" t="s">
        <v>169</v>
      </c>
      <c r="E29" s="54">
        <f t="shared" si="2"/>
        <v>98.5</v>
      </c>
      <c r="F29" s="54">
        <f t="shared" si="3"/>
        <v>63.4</v>
      </c>
      <c r="H29" s="31">
        <f>ROUND(H27*1.3,1)</f>
        <v>98.5</v>
      </c>
      <c r="I29" s="31">
        <f>ROUND(I27*1.3,1)</f>
        <v>63.4</v>
      </c>
    </row>
    <row r="30" spans="2:8" ht="18.75">
      <c r="B30" s="36" t="s">
        <v>170</v>
      </c>
      <c r="C30" s="37">
        <v>0</v>
      </c>
      <c r="D30" s="57" t="s">
        <v>171</v>
      </c>
      <c r="E30" s="54">
        <f>H30</f>
        <v>145.5</v>
      </c>
      <c r="F30" s="37"/>
      <c r="H30" s="31">
        <f>ROUND(E32*1.56,1)</f>
        <v>145.5</v>
      </c>
    </row>
    <row r="31" spans="2:8" ht="18.75">
      <c r="B31" s="36"/>
      <c r="C31" s="37">
        <v>1</v>
      </c>
      <c r="D31" s="57" t="s">
        <v>171</v>
      </c>
      <c r="E31" s="54">
        <f>H31</f>
        <v>111.9</v>
      </c>
      <c r="F31" s="37"/>
      <c r="H31" s="31">
        <f>ROUND(E32*1.2,1)</f>
        <v>111.9</v>
      </c>
    </row>
    <row r="32" spans="2:6" ht="18.75">
      <c r="B32" s="36"/>
      <c r="C32" s="37">
        <v>2</v>
      </c>
      <c r="D32" s="57" t="s">
        <v>171</v>
      </c>
      <c r="E32" s="73">
        <f>(91*2.5%)+91</f>
        <v>93.275</v>
      </c>
      <c r="F32" s="68"/>
    </row>
    <row r="33" spans="2:8" ht="18.75">
      <c r="B33" s="36"/>
      <c r="C33" s="37">
        <v>3</v>
      </c>
      <c r="D33" s="57" t="s">
        <v>171</v>
      </c>
      <c r="E33" s="54">
        <f>H33</f>
        <v>74.6</v>
      </c>
      <c r="F33" s="37"/>
      <c r="H33" s="31">
        <f>ROUND(E32*0.8,1)</f>
        <v>74.6</v>
      </c>
    </row>
    <row r="34" spans="2:8" ht="18.75">
      <c r="B34" s="36"/>
      <c r="C34" s="37">
        <v>4</v>
      </c>
      <c r="D34" s="57" t="s">
        <v>171</v>
      </c>
      <c r="E34" s="54">
        <f>H34</f>
        <v>52.2</v>
      </c>
      <c r="F34" s="37"/>
      <c r="H34" s="59">
        <f>ROUND(E32*0.56,1)</f>
        <v>52.2</v>
      </c>
    </row>
    <row r="35" spans="2:6" ht="19.5" customHeight="1">
      <c r="B35" s="45"/>
      <c r="C35" s="45"/>
      <c r="D35" s="45"/>
      <c r="E35" s="215" t="s">
        <v>172</v>
      </c>
      <c r="F35" s="215" t="s">
        <v>173</v>
      </c>
    </row>
    <row r="36" spans="2:9" ht="18.75">
      <c r="B36" s="36"/>
      <c r="C36" s="37">
        <v>1</v>
      </c>
      <c r="D36" s="57" t="s">
        <v>174</v>
      </c>
      <c r="E36" s="65">
        <f>H36</f>
        <v>118.1</v>
      </c>
      <c r="F36" s="65">
        <f>I36</f>
        <v>76.3</v>
      </c>
      <c r="H36" s="31">
        <f>ROUND(E38*1.2,1)</f>
        <v>118.1</v>
      </c>
      <c r="I36" s="31">
        <f>ROUND(F38*1.2,1)</f>
        <v>76.3</v>
      </c>
    </row>
    <row r="37" spans="2:9" ht="18.75">
      <c r="B37" s="36"/>
      <c r="C37" s="37"/>
      <c r="D37" s="57" t="s">
        <v>175</v>
      </c>
      <c r="E37" s="65">
        <f>H37</f>
        <v>136.5</v>
      </c>
      <c r="F37" s="65">
        <f>I37</f>
        <v>83.6</v>
      </c>
      <c r="H37" s="31">
        <f>ROUND(E39*1.2,1)</f>
        <v>136.5</v>
      </c>
      <c r="I37" s="31">
        <f>ROUND(F39*1.2,1)</f>
        <v>83.6</v>
      </c>
    </row>
    <row r="38" spans="2:6" ht="18.75">
      <c r="B38" s="36"/>
      <c r="C38" s="37">
        <v>2</v>
      </c>
      <c r="D38" s="57" t="s">
        <v>174</v>
      </c>
      <c r="E38" s="73">
        <f>(96*2.5%)+96</f>
        <v>98.4</v>
      </c>
      <c r="F38" s="73">
        <f>(62*2.5%)+62</f>
        <v>63.55</v>
      </c>
    </row>
    <row r="39" spans="2:6" ht="18.75">
      <c r="B39" s="36"/>
      <c r="C39" s="37"/>
      <c r="D39" s="57" t="s">
        <v>175</v>
      </c>
      <c r="E39" s="73">
        <f>(111*2.5%)+111</f>
        <v>113.775</v>
      </c>
      <c r="F39" s="73">
        <f>(68*2.5%)+68</f>
        <v>69.7</v>
      </c>
    </row>
    <row r="40" spans="2:9" ht="18.75">
      <c r="B40" s="36"/>
      <c r="C40" s="37">
        <v>3</v>
      </c>
      <c r="D40" s="57" t="s">
        <v>174</v>
      </c>
      <c r="E40" s="65">
        <f aca="true" t="shared" si="4" ref="E40:F43">H40</f>
        <v>78.7</v>
      </c>
      <c r="F40" s="65">
        <f t="shared" si="4"/>
        <v>50.8</v>
      </c>
      <c r="H40" s="31">
        <f>ROUND(E38*0.8,1)</f>
        <v>78.7</v>
      </c>
      <c r="I40" s="59">
        <f>ROUND(F38*0.8,1)</f>
        <v>50.8</v>
      </c>
    </row>
    <row r="41" spans="2:9" ht="18.75">
      <c r="B41" s="36"/>
      <c r="C41" s="37"/>
      <c r="D41" s="57" t="s">
        <v>175</v>
      </c>
      <c r="E41" s="65">
        <f t="shared" si="4"/>
        <v>91</v>
      </c>
      <c r="F41" s="65">
        <f t="shared" si="4"/>
        <v>55.8</v>
      </c>
      <c r="H41" s="31">
        <f>ROUND(E39*0.8,1)</f>
        <v>91</v>
      </c>
      <c r="I41" s="31">
        <f>ROUND(F39*0.8,1)</f>
        <v>55.8</v>
      </c>
    </row>
    <row r="42" spans="2:9" ht="18.75">
      <c r="B42" s="36"/>
      <c r="C42" s="37">
        <v>4</v>
      </c>
      <c r="D42" s="57" t="s">
        <v>174</v>
      </c>
      <c r="E42" s="65">
        <f t="shared" si="4"/>
        <v>55.1</v>
      </c>
      <c r="F42" s="65">
        <f t="shared" si="4"/>
        <v>35.6</v>
      </c>
      <c r="H42" s="31">
        <f>ROUND(E38*0.56,1)</f>
        <v>55.1</v>
      </c>
      <c r="I42" s="59">
        <f>ROUND(F38*0.56,1)</f>
        <v>35.6</v>
      </c>
    </row>
    <row r="43" spans="2:9" ht="18.75">
      <c r="B43" s="36"/>
      <c r="C43" s="37"/>
      <c r="D43" s="57" t="s">
        <v>175</v>
      </c>
      <c r="E43" s="65">
        <f t="shared" si="4"/>
        <v>63.7</v>
      </c>
      <c r="F43" s="65">
        <f t="shared" si="4"/>
        <v>39</v>
      </c>
      <c r="H43" s="59">
        <f>ROUND(E39*0.56,1)</f>
        <v>63.7</v>
      </c>
      <c r="I43" s="59">
        <f>ROUND(F39*0.56,1)</f>
        <v>39</v>
      </c>
    </row>
    <row r="44" spans="2:6" ht="18.75" customHeight="1">
      <c r="B44" s="388" t="s">
        <v>143</v>
      </c>
      <c r="C44" s="388" t="s">
        <v>163</v>
      </c>
      <c r="D44" s="388" t="s">
        <v>164</v>
      </c>
      <c r="E44" s="396" t="s">
        <v>165</v>
      </c>
      <c r="F44" s="396"/>
    </row>
    <row r="45" spans="2:6" ht="22.5" customHeight="1">
      <c r="B45" s="388"/>
      <c r="C45" s="388"/>
      <c r="D45" s="388"/>
      <c r="E45" s="215" t="s">
        <v>176</v>
      </c>
      <c r="F45" s="215" t="s">
        <v>177</v>
      </c>
    </row>
    <row r="46" spans="2:9" ht="18.75">
      <c r="B46" s="391" t="s">
        <v>178</v>
      </c>
      <c r="C46" s="37">
        <v>0</v>
      </c>
      <c r="D46" s="57" t="s">
        <v>168</v>
      </c>
      <c r="E46" s="54">
        <f aca="true" t="shared" si="5" ref="E46:E54">H46</f>
        <v>138.9</v>
      </c>
      <c r="F46" s="54">
        <f aca="true" t="shared" si="6" ref="F46:F54">I46</f>
        <v>121.3</v>
      </c>
      <c r="H46" s="31">
        <f>ROUND(H47*1.1,1)</f>
        <v>138.9</v>
      </c>
      <c r="I46" s="31">
        <f>ROUND(I47*1.1,1)</f>
        <v>121.3</v>
      </c>
    </row>
    <row r="47" spans="2:9" ht="18.75">
      <c r="B47" s="392"/>
      <c r="C47" s="37"/>
      <c r="D47" s="57">
        <v>25</v>
      </c>
      <c r="E47" s="54">
        <f t="shared" si="5"/>
        <v>126.3</v>
      </c>
      <c r="F47" s="54">
        <f t="shared" si="6"/>
        <v>110.3</v>
      </c>
      <c r="H47" s="31">
        <f>ROUND(E55*1.56,1)</f>
        <v>126.3</v>
      </c>
      <c r="I47" s="31">
        <f>ROUND(F55*1.56,1)</f>
        <v>110.3</v>
      </c>
    </row>
    <row r="48" spans="2:9" ht="18.75">
      <c r="B48" s="36"/>
      <c r="C48" s="37"/>
      <c r="D48" s="58">
        <v>32.4</v>
      </c>
      <c r="E48" s="54">
        <f t="shared" si="5"/>
        <v>151.6</v>
      </c>
      <c r="F48" s="54">
        <f t="shared" si="6"/>
        <v>132.4</v>
      </c>
      <c r="H48" s="31">
        <f>ROUND(H47*1.2,1)</f>
        <v>151.6</v>
      </c>
      <c r="I48" s="31">
        <f>ROUND(I47*1.2,1)</f>
        <v>132.4</v>
      </c>
    </row>
    <row r="49" spans="2:9" ht="18.75">
      <c r="B49" s="36"/>
      <c r="C49" s="37"/>
      <c r="D49" s="57" t="s">
        <v>169</v>
      </c>
      <c r="E49" s="54">
        <f t="shared" si="5"/>
        <v>164.2</v>
      </c>
      <c r="F49" s="54">
        <f t="shared" si="6"/>
        <v>143.4</v>
      </c>
      <c r="H49" s="31">
        <f>ROUND(H47*1.3,1)</f>
        <v>164.2</v>
      </c>
      <c r="I49" s="31">
        <f>ROUND(I47*1.3,1)</f>
        <v>143.4</v>
      </c>
    </row>
    <row r="50" spans="2:9" ht="18.75">
      <c r="B50" s="36"/>
      <c r="C50" s="37">
        <v>1</v>
      </c>
      <c r="D50" s="57" t="s">
        <v>168</v>
      </c>
      <c r="E50" s="54">
        <f t="shared" si="5"/>
        <v>106.9</v>
      </c>
      <c r="F50" s="54">
        <f t="shared" si="6"/>
        <v>93.4</v>
      </c>
      <c r="H50" s="31">
        <f>ROUND(H51*1.1,1)</f>
        <v>106.9</v>
      </c>
      <c r="I50" s="31">
        <f>ROUND(I51*1.1,1)</f>
        <v>93.4</v>
      </c>
    </row>
    <row r="51" spans="2:9" ht="18.75">
      <c r="B51" s="36"/>
      <c r="C51" s="37"/>
      <c r="D51" s="57">
        <v>25</v>
      </c>
      <c r="E51" s="54">
        <f t="shared" si="5"/>
        <v>97.2</v>
      </c>
      <c r="F51" s="54">
        <f t="shared" si="6"/>
        <v>84.9</v>
      </c>
      <c r="H51" s="31">
        <f>ROUND(E55*1.2,1)</f>
        <v>97.2</v>
      </c>
      <c r="I51" s="31">
        <f>ROUND(F55*1.2,1)</f>
        <v>84.9</v>
      </c>
    </row>
    <row r="52" spans="2:9" ht="18.75">
      <c r="B52" s="36"/>
      <c r="C52" s="37"/>
      <c r="D52" s="58">
        <v>32.4</v>
      </c>
      <c r="E52" s="54">
        <f t="shared" si="5"/>
        <v>116.6</v>
      </c>
      <c r="F52" s="54">
        <f t="shared" si="6"/>
        <v>101.9</v>
      </c>
      <c r="H52" s="31">
        <f>ROUND(H51*1.2,1)</f>
        <v>116.6</v>
      </c>
      <c r="I52" s="31">
        <f>ROUND(I51*1.2,1)</f>
        <v>101.9</v>
      </c>
    </row>
    <row r="53" spans="2:9" ht="18.75">
      <c r="B53" s="36"/>
      <c r="C53" s="37"/>
      <c r="D53" s="57" t="s">
        <v>169</v>
      </c>
      <c r="E53" s="54">
        <f t="shared" si="5"/>
        <v>126.4</v>
      </c>
      <c r="F53" s="54">
        <f t="shared" si="6"/>
        <v>110.4</v>
      </c>
      <c r="H53" s="31">
        <f>ROUND(H51*1.3,1)</f>
        <v>126.4</v>
      </c>
      <c r="I53" s="31">
        <f>ROUND(I51*1.3,1)</f>
        <v>110.4</v>
      </c>
    </row>
    <row r="54" spans="2:9" ht="18.75">
      <c r="B54" s="36"/>
      <c r="C54" s="37">
        <v>2</v>
      </c>
      <c r="D54" s="57" t="s">
        <v>168</v>
      </c>
      <c r="E54" s="54">
        <f t="shared" si="5"/>
        <v>89.1</v>
      </c>
      <c r="F54" s="54">
        <f t="shared" si="6"/>
        <v>77.8</v>
      </c>
      <c r="H54" s="31">
        <f>ROUND(E55*1.1,1)</f>
        <v>89.1</v>
      </c>
      <c r="I54" s="31">
        <f>ROUND(F55*1.1,1)</f>
        <v>77.8</v>
      </c>
    </row>
    <row r="55" spans="2:6" ht="18.75">
      <c r="B55" s="36"/>
      <c r="C55" s="37"/>
      <c r="D55" s="57">
        <v>25</v>
      </c>
      <c r="E55" s="73">
        <f>(79*2.5%)+79</f>
        <v>80.975</v>
      </c>
      <c r="F55" s="73">
        <f>(69*2.5%)+69</f>
        <v>70.725</v>
      </c>
    </row>
    <row r="56" spans="2:9" ht="18.75">
      <c r="B56" s="36"/>
      <c r="C56" s="37"/>
      <c r="D56" s="58">
        <v>32.4</v>
      </c>
      <c r="E56" s="54">
        <f aca="true" t="shared" si="7" ref="E56:E65">H56</f>
        <v>97.2</v>
      </c>
      <c r="F56" s="54">
        <f aca="true" t="shared" si="8" ref="F56:F65">I56</f>
        <v>84.9</v>
      </c>
      <c r="H56" s="31">
        <f>ROUND(E55*1.2,1)</f>
        <v>97.2</v>
      </c>
      <c r="I56" s="31">
        <f>ROUND(F55*1.2,1)</f>
        <v>84.9</v>
      </c>
    </row>
    <row r="57" spans="2:9" ht="18.75">
      <c r="B57" s="36"/>
      <c r="C57" s="37"/>
      <c r="D57" s="57" t="s">
        <v>169</v>
      </c>
      <c r="E57" s="54">
        <f t="shared" si="7"/>
        <v>105.3</v>
      </c>
      <c r="F57" s="54">
        <f t="shared" si="8"/>
        <v>91.9</v>
      </c>
      <c r="H57" s="31">
        <f>ROUND(E55*1.3,1)</f>
        <v>105.3</v>
      </c>
      <c r="I57" s="31">
        <f>ROUND(F55*1.3,1)</f>
        <v>91.9</v>
      </c>
    </row>
    <row r="58" spans="2:9" ht="18.75">
      <c r="B58" s="36"/>
      <c r="C58" s="37">
        <v>3</v>
      </c>
      <c r="D58" s="57" t="s">
        <v>168</v>
      </c>
      <c r="E58" s="54">
        <f t="shared" si="7"/>
        <v>71.3</v>
      </c>
      <c r="F58" s="54">
        <f t="shared" si="8"/>
        <v>62.3</v>
      </c>
      <c r="H58" s="31">
        <f>ROUND(H59*1.1,1)</f>
        <v>71.3</v>
      </c>
      <c r="I58" s="31">
        <f>ROUND(I59*1.1,1)</f>
        <v>62.3</v>
      </c>
    </row>
    <row r="59" spans="2:9" ht="18.75">
      <c r="B59" s="36"/>
      <c r="C59" s="37"/>
      <c r="D59" s="57">
        <v>25</v>
      </c>
      <c r="E59" s="54">
        <f t="shared" si="7"/>
        <v>64.8</v>
      </c>
      <c r="F59" s="54">
        <f t="shared" si="8"/>
        <v>56.6</v>
      </c>
      <c r="H59" s="31">
        <f>ROUND(E55*0.8,1)</f>
        <v>64.8</v>
      </c>
      <c r="I59" s="31">
        <f>ROUND(F55*0.8,1)</f>
        <v>56.6</v>
      </c>
    </row>
    <row r="60" spans="2:9" ht="18.75">
      <c r="B60" s="36"/>
      <c r="C60" s="37"/>
      <c r="D60" s="58">
        <v>32.4</v>
      </c>
      <c r="E60" s="54">
        <f t="shared" si="7"/>
        <v>77.8</v>
      </c>
      <c r="F60" s="54">
        <f t="shared" si="8"/>
        <v>67.9</v>
      </c>
      <c r="H60" s="31">
        <f>ROUND(H59*1.2,1)</f>
        <v>77.8</v>
      </c>
      <c r="I60" s="31">
        <f>ROUND(I59*1.2,1)</f>
        <v>67.9</v>
      </c>
    </row>
    <row r="61" spans="2:9" ht="18.75">
      <c r="B61" s="36"/>
      <c r="C61" s="37"/>
      <c r="D61" s="57" t="s">
        <v>169</v>
      </c>
      <c r="E61" s="54">
        <f t="shared" si="7"/>
        <v>84.2</v>
      </c>
      <c r="F61" s="54">
        <f t="shared" si="8"/>
        <v>73.6</v>
      </c>
      <c r="H61" s="31">
        <f>ROUND(H59*1.3,1)</f>
        <v>84.2</v>
      </c>
      <c r="I61" s="31">
        <f>ROUND(I59*1.3,1)</f>
        <v>73.6</v>
      </c>
    </row>
    <row r="62" spans="2:9" ht="18.75">
      <c r="B62" s="36"/>
      <c r="C62" s="37">
        <v>4</v>
      </c>
      <c r="D62" s="57" t="s">
        <v>168</v>
      </c>
      <c r="E62" s="54">
        <f t="shared" si="7"/>
        <v>49.8</v>
      </c>
      <c r="F62" s="54">
        <f t="shared" si="8"/>
        <v>43.6</v>
      </c>
      <c r="H62" s="31">
        <f>ROUND(H63*1.1,1)</f>
        <v>49.8</v>
      </c>
      <c r="I62" s="31">
        <f>ROUND(I63*1.1,1)</f>
        <v>43.6</v>
      </c>
    </row>
    <row r="63" spans="2:9" ht="18.75">
      <c r="B63" s="36"/>
      <c r="C63" s="37"/>
      <c r="D63" s="57">
        <v>25</v>
      </c>
      <c r="E63" s="54">
        <f t="shared" si="7"/>
        <v>45.3</v>
      </c>
      <c r="F63" s="54">
        <f t="shared" si="8"/>
        <v>39.6</v>
      </c>
      <c r="H63" s="31">
        <f>ROUND(E55*0.56,1)</f>
        <v>45.3</v>
      </c>
      <c r="I63" s="31">
        <f>ROUND(F55*0.56,1)</f>
        <v>39.6</v>
      </c>
    </row>
    <row r="64" spans="2:9" ht="18.75">
      <c r="B64" s="36"/>
      <c r="C64" s="37"/>
      <c r="D64" s="58">
        <v>32.4</v>
      </c>
      <c r="E64" s="54">
        <f t="shared" si="7"/>
        <v>54.4</v>
      </c>
      <c r="F64" s="54">
        <f t="shared" si="8"/>
        <v>47.5</v>
      </c>
      <c r="H64" s="31">
        <f>ROUND(H63*1.2,1)</f>
        <v>54.4</v>
      </c>
      <c r="I64" s="31">
        <f>ROUND(I63*1.2,1)</f>
        <v>47.5</v>
      </c>
    </row>
    <row r="65" spans="2:9" ht="18.75">
      <c r="B65" s="36"/>
      <c r="C65" s="37"/>
      <c r="D65" s="57" t="s">
        <v>169</v>
      </c>
      <c r="E65" s="54">
        <f t="shared" si="7"/>
        <v>58.9</v>
      </c>
      <c r="F65" s="54">
        <f t="shared" si="8"/>
        <v>51.5</v>
      </c>
      <c r="H65" s="31">
        <f>ROUND(H63*1.3,1)</f>
        <v>58.9</v>
      </c>
      <c r="I65" s="31">
        <f>ROUND(I63*1.3,1)</f>
        <v>51.5</v>
      </c>
    </row>
    <row r="66" spans="2:6" ht="18.75">
      <c r="B66" s="60"/>
      <c r="C66" s="61"/>
      <c r="D66" s="62"/>
      <c r="E66" s="61"/>
      <c r="F66" s="61"/>
    </row>
    <row r="67" spans="2:6" ht="18.75">
      <c r="B67" s="430" t="s">
        <v>179</v>
      </c>
      <c r="C67" s="430"/>
      <c r="D67" s="430"/>
      <c r="E67" s="430"/>
      <c r="F67" s="430"/>
    </row>
    <row r="68" spans="2:6" ht="18.75" customHeight="1">
      <c r="B68" s="393" t="s">
        <v>143</v>
      </c>
      <c r="C68" s="393" t="s">
        <v>163</v>
      </c>
      <c r="D68" s="393" t="s">
        <v>164</v>
      </c>
      <c r="E68" s="396" t="s">
        <v>165</v>
      </c>
      <c r="F68" s="396"/>
    </row>
    <row r="69" spans="2:6" ht="18.75" customHeight="1">
      <c r="B69" s="394"/>
      <c r="C69" s="394"/>
      <c r="D69" s="394"/>
      <c r="E69" s="215" t="s">
        <v>176</v>
      </c>
      <c r="F69" s="215" t="s">
        <v>177</v>
      </c>
    </row>
    <row r="70" spans="2:9" ht="21" customHeight="1">
      <c r="B70" s="380" t="s">
        <v>167</v>
      </c>
      <c r="C70" s="37">
        <v>1</v>
      </c>
      <c r="D70" s="57" t="s">
        <v>168</v>
      </c>
      <c r="E70" s="54">
        <f aca="true" t="shared" si="9" ref="E70:F74">H70</f>
        <v>254.3</v>
      </c>
      <c r="F70" s="54">
        <f t="shared" si="9"/>
        <v>194.8</v>
      </c>
      <c r="H70" s="31">
        <f>ROUND(H71*1.1,1)</f>
        <v>254.3</v>
      </c>
      <c r="I70" s="31">
        <f>ROUND(I71*1.1,1)</f>
        <v>194.8</v>
      </c>
    </row>
    <row r="71" spans="2:9" ht="18.75" customHeight="1">
      <c r="B71" s="381"/>
      <c r="C71" s="37"/>
      <c r="D71" s="57">
        <v>25</v>
      </c>
      <c r="E71" s="54">
        <f t="shared" si="9"/>
        <v>231.2</v>
      </c>
      <c r="F71" s="54">
        <f t="shared" si="9"/>
        <v>177.1</v>
      </c>
      <c r="H71" s="31">
        <f>ROUND(E75*1.2,1)</f>
        <v>231.2</v>
      </c>
      <c r="I71" s="31">
        <f>ROUND(F75*1.2,1)</f>
        <v>177.1</v>
      </c>
    </row>
    <row r="72" spans="2:9" ht="18.75">
      <c r="B72" s="36"/>
      <c r="C72" s="37"/>
      <c r="D72" s="58">
        <v>32.4</v>
      </c>
      <c r="E72" s="54">
        <f t="shared" si="9"/>
        <v>277.4</v>
      </c>
      <c r="F72" s="54">
        <f t="shared" si="9"/>
        <v>212.5</v>
      </c>
      <c r="H72" s="59">
        <f>ROUND(H71*1.2,1)</f>
        <v>277.4</v>
      </c>
      <c r="I72" s="31">
        <f>ROUND(I71*1.2,1)</f>
        <v>212.5</v>
      </c>
    </row>
    <row r="73" spans="2:9" ht="18.75">
      <c r="B73" s="36"/>
      <c r="C73" s="37"/>
      <c r="D73" s="57" t="s">
        <v>169</v>
      </c>
      <c r="E73" s="54">
        <f t="shared" si="9"/>
        <v>300.6</v>
      </c>
      <c r="F73" s="54">
        <f t="shared" si="9"/>
        <v>230.2</v>
      </c>
      <c r="H73" s="59">
        <f>ROUND(H71*1.3,1)</f>
        <v>300.6</v>
      </c>
      <c r="I73" s="31">
        <f>ROUND(I71*1.3,1)</f>
        <v>230.2</v>
      </c>
    </row>
    <row r="74" spans="2:9" ht="18.75">
      <c r="B74" s="36"/>
      <c r="C74" s="37">
        <v>2</v>
      </c>
      <c r="D74" s="57" t="s">
        <v>168</v>
      </c>
      <c r="E74" s="54">
        <f t="shared" si="9"/>
        <v>212</v>
      </c>
      <c r="F74" s="54">
        <f t="shared" si="9"/>
        <v>162.4</v>
      </c>
      <c r="H74" s="31">
        <f>ROUND(E75*1.1,1)</f>
        <v>212</v>
      </c>
      <c r="I74" s="31">
        <f>ROUND(F75*1.1,1)</f>
        <v>162.4</v>
      </c>
    </row>
    <row r="75" spans="2:6" ht="18.75">
      <c r="B75" s="36"/>
      <c r="C75" s="37"/>
      <c r="D75" s="57">
        <v>25</v>
      </c>
      <c r="E75" s="73">
        <f>(188*2.5%)+188</f>
        <v>192.7</v>
      </c>
      <c r="F75" s="73">
        <f>(144*2.5%)+144</f>
        <v>147.6</v>
      </c>
    </row>
    <row r="76" spans="2:9" ht="18.75">
      <c r="B76" s="36"/>
      <c r="C76" s="37"/>
      <c r="D76" s="58">
        <v>32.4</v>
      </c>
      <c r="E76" s="54">
        <f aca="true" t="shared" si="10" ref="E76:E81">H76</f>
        <v>231.2</v>
      </c>
      <c r="F76" s="54">
        <f aca="true" t="shared" si="11" ref="F76:F81">I76</f>
        <v>177.1</v>
      </c>
      <c r="H76" s="31">
        <f>ROUND(E75*1.2,1)</f>
        <v>231.2</v>
      </c>
      <c r="I76" s="31">
        <f>ROUND(F75*1.2,1)</f>
        <v>177.1</v>
      </c>
    </row>
    <row r="77" spans="2:9" ht="18.75">
      <c r="B77" s="36"/>
      <c r="C77" s="37"/>
      <c r="D77" s="57" t="s">
        <v>169</v>
      </c>
      <c r="E77" s="54">
        <f t="shared" si="10"/>
        <v>250.5</v>
      </c>
      <c r="F77" s="54">
        <f t="shared" si="11"/>
        <v>191.9</v>
      </c>
      <c r="H77" s="31">
        <f>ROUND(E75*1.3,1)</f>
        <v>250.5</v>
      </c>
      <c r="I77" s="31">
        <f>ROUND(F75*1.3,1)</f>
        <v>191.9</v>
      </c>
    </row>
    <row r="78" spans="2:9" ht="18.75">
      <c r="B78" s="36"/>
      <c r="C78" s="37">
        <v>3</v>
      </c>
      <c r="D78" s="57" t="s">
        <v>168</v>
      </c>
      <c r="E78" s="54">
        <f t="shared" si="10"/>
        <v>169.6</v>
      </c>
      <c r="F78" s="54">
        <f t="shared" si="11"/>
        <v>129.9</v>
      </c>
      <c r="H78" s="59">
        <f>ROUND(H79*1.1,1)</f>
        <v>169.6</v>
      </c>
      <c r="I78" s="31">
        <f>ROUND(I79*1.1,1)</f>
        <v>129.9</v>
      </c>
    </row>
    <row r="79" spans="2:9" ht="18.75">
      <c r="B79" s="36"/>
      <c r="C79" s="37"/>
      <c r="D79" s="57">
        <v>25</v>
      </c>
      <c r="E79" s="54">
        <f t="shared" si="10"/>
        <v>154.2</v>
      </c>
      <c r="F79" s="54">
        <f t="shared" si="11"/>
        <v>118.1</v>
      </c>
      <c r="H79" s="31">
        <f>ROUND(E75*0.8,1)</f>
        <v>154.2</v>
      </c>
      <c r="I79" s="31">
        <f>ROUND(F75*0.8,1)</f>
        <v>118.1</v>
      </c>
    </row>
    <row r="80" spans="1:9" ht="18.75">
      <c r="A80" s="60"/>
      <c r="B80" s="36"/>
      <c r="C80" s="63"/>
      <c r="D80" s="64">
        <v>32.4</v>
      </c>
      <c r="E80" s="219">
        <f t="shared" si="10"/>
        <v>185</v>
      </c>
      <c r="F80" s="219">
        <f t="shared" si="11"/>
        <v>141.7</v>
      </c>
      <c r="H80" s="59">
        <f>ROUND(H79*1.2,1)</f>
        <v>185</v>
      </c>
      <c r="I80" s="31">
        <f>ROUND(I79*1.2,1)</f>
        <v>141.7</v>
      </c>
    </row>
    <row r="81" spans="1:9" ht="18.75">
      <c r="A81" s="60"/>
      <c r="B81" s="36"/>
      <c r="C81" s="37"/>
      <c r="D81" s="57" t="s">
        <v>169</v>
      </c>
      <c r="E81" s="54">
        <f t="shared" si="10"/>
        <v>200.5</v>
      </c>
      <c r="F81" s="54">
        <f t="shared" si="11"/>
        <v>153.5</v>
      </c>
      <c r="H81" s="59">
        <f>ROUND(H79*1.3,1)</f>
        <v>200.5</v>
      </c>
      <c r="I81" s="31">
        <f>ROUND(I79*1.3,1)</f>
        <v>153.5</v>
      </c>
    </row>
    <row r="82" spans="1:6" ht="18.75">
      <c r="A82" s="60"/>
      <c r="B82" s="60"/>
      <c r="C82" s="60"/>
      <c r="D82" s="60"/>
      <c r="E82" s="61"/>
      <c r="F82" s="61"/>
    </row>
    <row r="83" spans="2:6" ht="18.75">
      <c r="B83" s="395" t="s">
        <v>180</v>
      </c>
      <c r="C83" s="395"/>
      <c r="D83" s="395"/>
      <c r="E83" s="395"/>
      <c r="F83" s="395"/>
    </row>
    <row r="84" spans="2:6" ht="18.75">
      <c r="B84" s="60"/>
      <c r="C84" s="60"/>
      <c r="D84" s="60"/>
      <c r="E84" s="60"/>
      <c r="F84" s="60"/>
    </row>
    <row r="85" spans="2:6" ht="18.75" customHeight="1">
      <c r="B85" s="393" t="s">
        <v>143</v>
      </c>
      <c r="C85" s="393" t="s">
        <v>163</v>
      </c>
      <c r="D85" s="393" t="s">
        <v>164</v>
      </c>
      <c r="E85" s="396" t="s">
        <v>165</v>
      </c>
      <c r="F85" s="396"/>
    </row>
    <row r="86" spans="2:6" ht="18.75" customHeight="1">
      <c r="B86" s="394"/>
      <c r="C86" s="394"/>
      <c r="D86" s="394"/>
      <c r="E86" s="215" t="s">
        <v>176</v>
      </c>
      <c r="F86" s="215" t="s">
        <v>177</v>
      </c>
    </row>
    <row r="87" spans="2:9" ht="22.5" customHeight="1">
      <c r="B87" s="42" t="s">
        <v>167</v>
      </c>
      <c r="C87" s="37">
        <v>1</v>
      </c>
      <c r="D87" s="57" t="s">
        <v>168</v>
      </c>
      <c r="E87" s="54">
        <f aca="true" t="shared" si="12" ref="E87:F91">H87</f>
        <v>151.6</v>
      </c>
      <c r="F87" s="54">
        <f t="shared" si="12"/>
        <v>97.5</v>
      </c>
      <c r="H87" s="59">
        <f>ROUND(H88*1.1,1)</f>
        <v>151.6</v>
      </c>
      <c r="I87" s="31">
        <f>ROUND(I88*1.1,1)</f>
        <v>97.5</v>
      </c>
    </row>
    <row r="88" spans="2:9" ht="18.75">
      <c r="B88" s="42"/>
      <c r="C88" s="37"/>
      <c r="D88" s="57">
        <v>25</v>
      </c>
      <c r="E88" s="54">
        <f t="shared" si="12"/>
        <v>137.8</v>
      </c>
      <c r="F88" s="54">
        <f t="shared" si="12"/>
        <v>88.6</v>
      </c>
      <c r="H88" s="31">
        <f>ROUND(E92*1.2,1)</f>
        <v>137.8</v>
      </c>
      <c r="I88" s="31">
        <f>ROUND(F92*1.2,1)</f>
        <v>88.6</v>
      </c>
    </row>
    <row r="89" spans="2:9" ht="18.75">
      <c r="B89" s="36"/>
      <c r="C89" s="37"/>
      <c r="D89" s="58">
        <v>32.4</v>
      </c>
      <c r="E89" s="54">
        <f t="shared" si="12"/>
        <v>165.4</v>
      </c>
      <c r="F89" s="54">
        <f t="shared" si="12"/>
        <v>106.3</v>
      </c>
      <c r="H89" s="59">
        <f>ROUND(H88*1.2,1)</f>
        <v>165.4</v>
      </c>
      <c r="I89" s="31">
        <f>ROUND(I88*1.2,1)</f>
        <v>106.3</v>
      </c>
    </row>
    <row r="90" spans="2:9" ht="18.75">
      <c r="B90" s="36"/>
      <c r="C90" s="37"/>
      <c r="D90" s="57" t="s">
        <v>169</v>
      </c>
      <c r="E90" s="54">
        <f t="shared" si="12"/>
        <v>179.1</v>
      </c>
      <c r="F90" s="54">
        <f t="shared" si="12"/>
        <v>115.2</v>
      </c>
      <c r="H90" s="59">
        <f>ROUND(H88*1.3,1)</f>
        <v>179.1</v>
      </c>
      <c r="I90" s="31">
        <f>ROUND(I88*1.3,1)</f>
        <v>115.2</v>
      </c>
    </row>
    <row r="91" spans="2:9" ht="18.75">
      <c r="B91" s="36"/>
      <c r="C91" s="37">
        <v>2</v>
      </c>
      <c r="D91" s="57" t="s">
        <v>168</v>
      </c>
      <c r="E91" s="54">
        <f t="shared" si="12"/>
        <v>126.3</v>
      </c>
      <c r="F91" s="54">
        <f t="shared" si="12"/>
        <v>81.2</v>
      </c>
      <c r="H91" s="31">
        <f>ROUND(E92*1.1,1)</f>
        <v>126.3</v>
      </c>
      <c r="I91" s="31">
        <f>ROUND(F92*1.1,1)</f>
        <v>81.2</v>
      </c>
    </row>
    <row r="92" spans="2:6" ht="18.75">
      <c r="B92" s="36"/>
      <c r="C92" s="37"/>
      <c r="D92" s="57">
        <v>25</v>
      </c>
      <c r="E92" s="73">
        <f>(112*2.5%)+112</f>
        <v>114.8</v>
      </c>
      <c r="F92" s="73">
        <f>(72*2.5%)+72</f>
        <v>73.8</v>
      </c>
    </row>
    <row r="93" spans="2:9" ht="18.75">
      <c r="B93" s="36"/>
      <c r="C93" s="37"/>
      <c r="D93" s="58">
        <v>32.4</v>
      </c>
      <c r="E93" s="54">
        <f aca="true" t="shared" si="13" ref="E93:E98">H93</f>
        <v>137.8</v>
      </c>
      <c r="F93" s="54">
        <f aca="true" t="shared" si="14" ref="F93:F98">I93</f>
        <v>88.6</v>
      </c>
      <c r="H93" s="31">
        <f>ROUND(E92*1.2,1)</f>
        <v>137.8</v>
      </c>
      <c r="I93" s="31">
        <f>ROUND(F92*1.2,1)</f>
        <v>88.6</v>
      </c>
    </row>
    <row r="94" spans="2:9" ht="18.75">
      <c r="B94" s="36"/>
      <c r="C94" s="37"/>
      <c r="D94" s="57" t="s">
        <v>169</v>
      </c>
      <c r="E94" s="54">
        <f t="shared" si="13"/>
        <v>149.2</v>
      </c>
      <c r="F94" s="54">
        <f t="shared" si="14"/>
        <v>95.9</v>
      </c>
      <c r="H94" s="31">
        <f>ROUND(E92*1.3,1)</f>
        <v>149.2</v>
      </c>
      <c r="I94" s="31">
        <f>ROUND(F92*1.3,1)</f>
        <v>95.9</v>
      </c>
    </row>
    <row r="95" spans="2:9" ht="18.75">
      <c r="B95" s="36"/>
      <c r="C95" s="37">
        <v>3</v>
      </c>
      <c r="D95" s="57" t="s">
        <v>168</v>
      </c>
      <c r="E95" s="54">
        <f t="shared" si="13"/>
        <v>101</v>
      </c>
      <c r="F95" s="54">
        <f t="shared" si="14"/>
        <v>64.9</v>
      </c>
      <c r="H95" s="59">
        <f>ROUND(H96*1.1,1)</f>
        <v>101</v>
      </c>
      <c r="I95" s="59">
        <f>ROUND(I96*1.1,1)</f>
        <v>64.9</v>
      </c>
    </row>
    <row r="96" spans="2:9" ht="18.75">
      <c r="B96" s="36"/>
      <c r="C96" s="37"/>
      <c r="D96" s="57">
        <v>25</v>
      </c>
      <c r="E96" s="54">
        <f t="shared" si="13"/>
        <v>91.8</v>
      </c>
      <c r="F96" s="54">
        <f t="shared" si="14"/>
        <v>59</v>
      </c>
      <c r="H96" s="31">
        <f>ROUND(E92*0.8,1)</f>
        <v>91.8</v>
      </c>
      <c r="I96" s="31">
        <f>ROUND(F92*0.8,1)</f>
        <v>59</v>
      </c>
    </row>
    <row r="97" spans="2:9" ht="18.75">
      <c r="B97" s="36"/>
      <c r="C97" s="63"/>
      <c r="D97" s="64">
        <v>32.4</v>
      </c>
      <c r="E97" s="54">
        <f t="shared" si="13"/>
        <v>110.2</v>
      </c>
      <c r="F97" s="54">
        <f t="shared" si="14"/>
        <v>70.8</v>
      </c>
      <c r="H97" s="59">
        <f>ROUND(H96*1.2,1)</f>
        <v>110.2</v>
      </c>
      <c r="I97" s="59">
        <f>ROUND(I96*1.2,1)</f>
        <v>70.8</v>
      </c>
    </row>
    <row r="98" spans="2:9" ht="18.75">
      <c r="B98" s="36"/>
      <c r="C98" s="37"/>
      <c r="D98" s="57" t="s">
        <v>169</v>
      </c>
      <c r="E98" s="54">
        <f t="shared" si="13"/>
        <v>119.3</v>
      </c>
      <c r="F98" s="54">
        <f t="shared" si="14"/>
        <v>76.7</v>
      </c>
      <c r="H98" s="59">
        <f>ROUND(H96*1.3,1)</f>
        <v>119.3</v>
      </c>
      <c r="I98" s="31">
        <f>ROUND(I96*1.3,1)</f>
        <v>76.7</v>
      </c>
    </row>
    <row r="99" spans="2:6" ht="27.75" customHeight="1">
      <c r="B99" s="36"/>
      <c r="C99" s="36"/>
      <c r="D99" s="36"/>
      <c r="E99" s="104" t="s">
        <v>172</v>
      </c>
      <c r="F99" s="215" t="s">
        <v>173</v>
      </c>
    </row>
    <row r="100" spans="2:8" ht="18.75">
      <c r="B100" s="36"/>
      <c r="C100" s="37">
        <v>1</v>
      </c>
      <c r="D100" s="58">
        <v>32.7</v>
      </c>
      <c r="E100" s="65">
        <f>H100</f>
        <v>81.8</v>
      </c>
      <c r="F100" s="37"/>
      <c r="H100" s="31">
        <f>ROUND(E102*1.2,1)</f>
        <v>81.8</v>
      </c>
    </row>
    <row r="101" spans="2:9" ht="18.75">
      <c r="B101" s="36"/>
      <c r="C101" s="37"/>
      <c r="D101" s="57" t="s">
        <v>181</v>
      </c>
      <c r="E101" s="65">
        <f>H101</f>
        <v>84.9</v>
      </c>
      <c r="F101" s="65">
        <f>I101</f>
        <v>57.8</v>
      </c>
      <c r="H101" s="31">
        <f>ROUND(E103*1.2,1)</f>
        <v>84.9</v>
      </c>
      <c r="I101" s="31">
        <f>ROUND(F103*1.2,1)</f>
        <v>57.8</v>
      </c>
    </row>
    <row r="102" spans="2:6" ht="18.75">
      <c r="B102" s="36"/>
      <c r="C102" s="37">
        <v>2</v>
      </c>
      <c r="D102" s="58">
        <v>32.7</v>
      </c>
      <c r="E102" s="73">
        <f>(66.5*2.5%)+66.5</f>
        <v>68.1625</v>
      </c>
      <c r="F102" s="54"/>
    </row>
    <row r="103" spans="2:6" ht="18.75">
      <c r="B103" s="36"/>
      <c r="C103" s="37"/>
      <c r="D103" s="57" t="s">
        <v>181</v>
      </c>
      <c r="E103" s="73">
        <f>(69*2.5%)+69</f>
        <v>70.725</v>
      </c>
      <c r="F103" s="73">
        <f>(47*2.5%)+47</f>
        <v>48.175</v>
      </c>
    </row>
    <row r="104" spans="2:8" ht="18.75">
      <c r="B104" s="36"/>
      <c r="C104" s="37">
        <v>3</v>
      </c>
      <c r="D104" s="58">
        <v>32.7</v>
      </c>
      <c r="E104" s="65">
        <f>H104</f>
        <v>54.5</v>
      </c>
      <c r="F104" s="65"/>
      <c r="H104" s="31">
        <f>ROUND(E102*0.8,1)</f>
        <v>54.5</v>
      </c>
    </row>
    <row r="105" spans="2:9" ht="18.75">
      <c r="B105" s="36"/>
      <c r="C105" s="37"/>
      <c r="D105" s="57" t="s">
        <v>181</v>
      </c>
      <c r="E105" s="65">
        <f>H105</f>
        <v>56.6</v>
      </c>
      <c r="F105" s="65">
        <f>I105</f>
        <v>38.5</v>
      </c>
      <c r="H105" s="31">
        <f>ROUND(E103*0.8,1)</f>
        <v>56.6</v>
      </c>
      <c r="I105" s="31">
        <f>ROUND(F103*0.8,1)</f>
        <v>38.5</v>
      </c>
    </row>
    <row r="106" spans="2:6" ht="18.75">
      <c r="B106" s="60"/>
      <c r="C106" s="61"/>
      <c r="D106" s="61"/>
      <c r="E106" s="61"/>
      <c r="F106" s="61"/>
    </row>
    <row r="107" spans="2:6" ht="18.75" customHeight="1">
      <c r="B107" s="393" t="s">
        <v>143</v>
      </c>
      <c r="C107" s="393" t="s">
        <v>163</v>
      </c>
      <c r="D107" s="393" t="s">
        <v>164</v>
      </c>
      <c r="E107" s="396" t="s">
        <v>165</v>
      </c>
      <c r="F107" s="396"/>
    </row>
    <row r="108" spans="2:6" ht="18.75">
      <c r="B108" s="394"/>
      <c r="C108" s="394"/>
      <c r="D108" s="394"/>
      <c r="E108" s="421" t="s">
        <v>176</v>
      </c>
      <c r="F108" s="422"/>
    </row>
    <row r="109" spans="2:8" ht="18.75">
      <c r="B109" s="36" t="s">
        <v>178</v>
      </c>
      <c r="C109" s="37">
        <v>1</v>
      </c>
      <c r="D109" s="57" t="s">
        <v>168</v>
      </c>
      <c r="E109" s="399">
        <f>H109</f>
        <v>89.3</v>
      </c>
      <c r="F109" s="400"/>
      <c r="H109" s="59">
        <f>ROUND(H110*1.1,1)</f>
        <v>89.3</v>
      </c>
    </row>
    <row r="110" spans="2:8" ht="18.75">
      <c r="B110" s="36" t="s">
        <v>182</v>
      </c>
      <c r="C110" s="37"/>
      <c r="D110" s="57">
        <v>25</v>
      </c>
      <c r="E110" s="399">
        <f>H110</f>
        <v>81.2</v>
      </c>
      <c r="F110" s="400"/>
      <c r="H110" s="31">
        <f>ROUND(E114*1.2,1)</f>
        <v>81.2</v>
      </c>
    </row>
    <row r="111" spans="2:8" ht="18.75">
      <c r="B111" s="36" t="s">
        <v>183</v>
      </c>
      <c r="C111" s="37"/>
      <c r="D111" s="58">
        <v>32.4</v>
      </c>
      <c r="E111" s="399">
        <f>H111</f>
        <v>97.4</v>
      </c>
      <c r="F111" s="400"/>
      <c r="H111" s="59">
        <f>ROUND(H110*1.2,1)</f>
        <v>97.4</v>
      </c>
    </row>
    <row r="112" spans="2:8" ht="18.75">
      <c r="B112" s="36"/>
      <c r="C112" s="37"/>
      <c r="D112" s="57" t="s">
        <v>169</v>
      </c>
      <c r="E112" s="399">
        <f>H112</f>
        <v>105.6</v>
      </c>
      <c r="F112" s="400"/>
      <c r="H112" s="59">
        <f>ROUND(H110*1.3,1)</f>
        <v>105.6</v>
      </c>
    </row>
    <row r="113" spans="2:8" ht="18.75">
      <c r="B113" s="36"/>
      <c r="C113" s="37">
        <v>2</v>
      </c>
      <c r="D113" s="57" t="s">
        <v>168</v>
      </c>
      <c r="E113" s="399">
        <f>H113</f>
        <v>74.4</v>
      </c>
      <c r="F113" s="400"/>
      <c r="H113" s="31">
        <f>ROUND(E114*1.1,1)</f>
        <v>74.4</v>
      </c>
    </row>
    <row r="114" spans="2:6" ht="18.75">
      <c r="B114" s="36"/>
      <c r="C114" s="37"/>
      <c r="D114" s="57">
        <v>25</v>
      </c>
      <c r="E114" s="425">
        <f>(66*2.5%)+66</f>
        <v>67.65</v>
      </c>
      <c r="F114" s="426"/>
    </row>
    <row r="115" spans="2:8" ht="18.75">
      <c r="B115" s="36"/>
      <c r="C115" s="37"/>
      <c r="D115" s="58">
        <v>32.4</v>
      </c>
      <c r="E115" s="399">
        <f aca="true" t="shared" si="15" ref="E115:E120">H115</f>
        <v>81.2</v>
      </c>
      <c r="F115" s="400"/>
      <c r="H115" s="31">
        <f>ROUND(E114*1.2,1)</f>
        <v>81.2</v>
      </c>
    </row>
    <row r="116" spans="2:8" ht="18.75">
      <c r="B116" s="36"/>
      <c r="C116" s="37"/>
      <c r="D116" s="57" t="s">
        <v>169</v>
      </c>
      <c r="E116" s="399">
        <f t="shared" si="15"/>
        <v>87.9</v>
      </c>
      <c r="F116" s="400"/>
      <c r="H116" s="31">
        <f>ROUND(E114*1.3,1)</f>
        <v>87.9</v>
      </c>
    </row>
    <row r="117" spans="2:8" ht="18.75">
      <c r="B117" s="36"/>
      <c r="C117" s="37">
        <v>3</v>
      </c>
      <c r="D117" s="57" t="s">
        <v>168</v>
      </c>
      <c r="E117" s="399">
        <f t="shared" si="15"/>
        <v>59.5</v>
      </c>
      <c r="F117" s="400"/>
      <c r="H117" s="59">
        <f>ROUND(H118*1.1,1)</f>
        <v>59.5</v>
      </c>
    </row>
    <row r="118" spans="2:8" ht="18.75">
      <c r="B118" s="36"/>
      <c r="C118" s="37"/>
      <c r="D118" s="57">
        <v>25</v>
      </c>
      <c r="E118" s="399">
        <f t="shared" si="15"/>
        <v>54.1</v>
      </c>
      <c r="F118" s="400"/>
      <c r="H118" s="31">
        <f>ROUND(E114*0.8,1)</f>
        <v>54.1</v>
      </c>
    </row>
    <row r="119" spans="2:8" ht="18.75">
      <c r="B119" s="36"/>
      <c r="C119" s="63"/>
      <c r="D119" s="64">
        <v>32.4</v>
      </c>
      <c r="E119" s="399">
        <f t="shared" si="15"/>
        <v>64.9</v>
      </c>
      <c r="F119" s="400"/>
      <c r="H119" s="59">
        <f>ROUND(H118*1.2,1)</f>
        <v>64.9</v>
      </c>
    </row>
    <row r="120" spans="2:8" ht="18.75">
      <c r="B120" s="36"/>
      <c r="C120" s="37"/>
      <c r="D120" s="57" t="s">
        <v>169</v>
      </c>
      <c r="E120" s="399">
        <f t="shared" si="15"/>
        <v>70.3</v>
      </c>
      <c r="F120" s="400"/>
      <c r="H120" s="59">
        <f>ROUND(H118*1.3,1)</f>
        <v>70.3</v>
      </c>
    </row>
    <row r="121" spans="2:6" ht="18.75">
      <c r="B121" s="60"/>
      <c r="C121" s="60"/>
      <c r="D121" s="60"/>
      <c r="E121" s="60"/>
      <c r="F121" s="60"/>
    </row>
    <row r="122" spans="2:6" ht="18.75">
      <c r="B122" s="395" t="s">
        <v>184</v>
      </c>
      <c r="C122" s="395"/>
      <c r="D122" s="395"/>
      <c r="E122" s="395"/>
      <c r="F122" s="395"/>
    </row>
    <row r="123" spans="2:14" ht="18.75">
      <c r="B123" s="60"/>
      <c r="C123" s="60"/>
      <c r="D123" s="60"/>
      <c r="E123" s="60"/>
      <c r="F123" s="60"/>
      <c r="I123" s="66"/>
      <c r="J123" s="66"/>
      <c r="K123" s="66"/>
      <c r="L123" s="66"/>
      <c r="M123" s="66"/>
      <c r="N123" s="66"/>
    </row>
    <row r="124" spans="2:14" ht="37.5" customHeight="1">
      <c r="B124" s="423" t="s">
        <v>143</v>
      </c>
      <c r="C124" s="424"/>
      <c r="D124" s="409" t="s">
        <v>185</v>
      </c>
      <c r="E124" s="420"/>
      <c r="F124" s="38" t="s">
        <v>186</v>
      </c>
      <c r="I124" s="397"/>
      <c r="J124" s="397"/>
      <c r="K124" s="397"/>
      <c r="L124" s="397"/>
      <c r="M124" s="66"/>
      <c r="N124" s="66"/>
    </row>
    <row r="125" spans="2:14" ht="18.75" customHeight="1">
      <c r="B125" s="404" t="s">
        <v>187</v>
      </c>
      <c r="C125" s="427"/>
      <c r="D125" s="427"/>
      <c r="E125" s="405"/>
      <c r="F125" s="36"/>
      <c r="I125" s="67"/>
      <c r="J125" s="67"/>
      <c r="K125" s="67"/>
      <c r="L125" s="67"/>
      <c r="M125" s="67"/>
      <c r="N125" s="67"/>
    </row>
    <row r="126" spans="2:6" ht="18.75">
      <c r="B126" s="406" t="s">
        <v>188</v>
      </c>
      <c r="C126" s="407"/>
      <c r="D126" s="399">
        <f>(0.9*2.5%)+0.9</f>
        <v>0.9225</v>
      </c>
      <c r="E126" s="400"/>
      <c r="F126" s="54">
        <f>(2.5*2.5%)+2.5</f>
        <v>2.5625</v>
      </c>
    </row>
    <row r="127" spans="2:6" ht="18.75">
      <c r="B127" s="406" t="s">
        <v>189</v>
      </c>
      <c r="C127" s="407"/>
      <c r="D127" s="399">
        <f>(1.7*2.5%)+1.7</f>
        <v>1.7425</v>
      </c>
      <c r="E127" s="400"/>
      <c r="F127" s="54">
        <f>(4.5*2.5%)+4.5</f>
        <v>4.6125</v>
      </c>
    </row>
    <row r="128" spans="2:6" ht="18.75">
      <c r="B128" s="408" t="s">
        <v>190</v>
      </c>
      <c r="C128" s="408"/>
      <c r="D128" s="399">
        <f>(1.9*2.5%)+1.9</f>
        <v>1.9475</v>
      </c>
      <c r="E128" s="400"/>
      <c r="F128" s="54">
        <f>(4.4*2.5%)+4.4</f>
        <v>4.510000000000001</v>
      </c>
    </row>
    <row r="129" spans="2:6" ht="18.75">
      <c r="B129" s="62"/>
      <c r="C129" s="62"/>
      <c r="D129" s="61"/>
      <c r="E129" s="61"/>
      <c r="F129" s="61"/>
    </row>
    <row r="130" spans="2:6" ht="18.75">
      <c r="B130" s="395" t="s">
        <v>191</v>
      </c>
      <c r="C130" s="395"/>
      <c r="D130" s="395"/>
      <c r="E130" s="395"/>
      <c r="F130" s="395"/>
    </row>
    <row r="131" spans="2:6" ht="18.75">
      <c r="B131" s="62"/>
      <c r="C131" s="62"/>
      <c r="D131" s="61"/>
      <c r="E131" s="61"/>
      <c r="F131" s="61"/>
    </row>
    <row r="132" spans="2:6" ht="37.5" customHeight="1">
      <c r="B132" s="409" t="s">
        <v>143</v>
      </c>
      <c r="C132" s="410"/>
      <c r="D132" s="409" t="s">
        <v>185</v>
      </c>
      <c r="E132" s="420"/>
      <c r="F132" s="38" t="s">
        <v>186</v>
      </c>
    </row>
    <row r="133" spans="2:6" ht="44.25" customHeight="1">
      <c r="B133" s="404" t="s">
        <v>192</v>
      </c>
      <c r="C133" s="405"/>
      <c r="D133" s="428">
        <f>(5.2*2.5%)+5.2</f>
        <v>5.33</v>
      </c>
      <c r="E133" s="429"/>
      <c r="F133" s="49">
        <f>(15.7*2.5%)+15.7</f>
        <v>16.092499999999998</v>
      </c>
    </row>
    <row r="134" spans="2:6" ht="42" customHeight="1">
      <c r="B134" s="404" t="s">
        <v>193</v>
      </c>
      <c r="C134" s="405"/>
      <c r="D134" s="428">
        <f>(7.4*2.5%)+7.4</f>
        <v>7.585</v>
      </c>
      <c r="E134" s="429"/>
      <c r="F134" s="49">
        <f>(17.8*2.5%)+17.8</f>
        <v>18.245</v>
      </c>
    </row>
    <row r="135" spans="2:6" ht="18.75">
      <c r="B135" s="395"/>
      <c r="C135" s="395"/>
      <c r="D135" s="415"/>
      <c r="E135" s="415"/>
      <c r="F135" s="60"/>
    </row>
    <row r="136" spans="2:6" ht="18.75">
      <c r="B136" s="395" t="s">
        <v>194</v>
      </c>
      <c r="C136" s="395"/>
      <c r="D136" s="395"/>
      <c r="E136" s="395"/>
      <c r="F136" s="395"/>
    </row>
    <row r="137" spans="2:6" ht="18.75">
      <c r="B137" s="60"/>
      <c r="C137" s="60"/>
      <c r="D137" s="416"/>
      <c r="E137" s="416"/>
      <c r="F137" s="60"/>
    </row>
    <row r="138" spans="2:6" ht="18.75">
      <c r="B138" s="406" t="s">
        <v>195</v>
      </c>
      <c r="C138" s="407"/>
      <c r="D138" s="401">
        <f>(23.2*2.5%)+23.2</f>
        <v>23.779999999999998</v>
      </c>
      <c r="E138" s="402"/>
      <c r="F138" s="403"/>
    </row>
    <row r="139" spans="2:6" ht="18.75">
      <c r="B139" s="406" t="s">
        <v>196</v>
      </c>
      <c r="C139" s="407"/>
      <c r="D139" s="401">
        <f>(38*2.5%)+38</f>
        <v>38.95</v>
      </c>
      <c r="E139" s="402"/>
      <c r="F139" s="403"/>
    </row>
    <row r="140" spans="2:6" ht="18.75">
      <c r="B140" s="408" t="s">
        <v>389</v>
      </c>
      <c r="C140" s="408"/>
      <c r="D140" s="411">
        <f>(8*2.5%)+8</f>
        <v>8.2</v>
      </c>
      <c r="E140" s="411"/>
      <c r="F140" s="411"/>
    </row>
    <row r="141" spans="2:6" ht="18.75">
      <c r="B141" s="60"/>
      <c r="C141" s="60"/>
      <c r="D141" s="60"/>
      <c r="E141" s="60"/>
      <c r="F141" s="60"/>
    </row>
    <row r="142" spans="2:6" ht="18.75">
      <c r="B142" s="395" t="s">
        <v>197</v>
      </c>
      <c r="C142" s="395"/>
      <c r="D142" s="395"/>
      <c r="E142" s="395"/>
      <c r="F142" s="395"/>
    </row>
    <row r="143" spans="2:6" ht="18.75">
      <c r="B143" s="416" t="s">
        <v>198</v>
      </c>
      <c r="C143" s="416"/>
      <c r="D143" s="416"/>
      <c r="E143" s="416"/>
      <c r="F143" s="416"/>
    </row>
    <row r="144" spans="2:6" ht="18.75">
      <c r="B144" s="412" t="s">
        <v>143</v>
      </c>
      <c r="C144" s="413"/>
      <c r="D144" s="412" t="s">
        <v>199</v>
      </c>
      <c r="E144" s="414"/>
      <c r="F144" s="413"/>
    </row>
    <row r="145" spans="2:6" ht="18.75">
      <c r="B145" s="406" t="s">
        <v>200</v>
      </c>
      <c r="C145" s="407"/>
      <c r="D145" s="399">
        <f>(0.25*2.5%)+0.25</f>
        <v>0.25625</v>
      </c>
      <c r="E145" s="417"/>
      <c r="F145" s="400"/>
    </row>
    <row r="146" spans="2:6" ht="18.75">
      <c r="B146" s="62"/>
      <c r="C146" s="62"/>
      <c r="D146" s="61"/>
      <c r="E146" s="61"/>
      <c r="F146" s="61"/>
    </row>
    <row r="147" spans="2:6" ht="39" customHeight="1">
      <c r="B147" s="409" t="s">
        <v>143</v>
      </c>
      <c r="C147" s="410"/>
      <c r="D147" s="409" t="s">
        <v>201</v>
      </c>
      <c r="E147" s="420"/>
      <c r="F147" s="69"/>
    </row>
    <row r="148" spans="2:6" ht="18.75">
      <c r="B148" s="418" t="s">
        <v>202</v>
      </c>
      <c r="C148" s="419"/>
      <c r="D148" s="399">
        <f>(2.2*2.5%)+2.2</f>
        <v>2.2550000000000003</v>
      </c>
      <c r="E148" s="400"/>
      <c r="F148" s="61"/>
    </row>
    <row r="149" spans="2:6" ht="18.75">
      <c r="B149" s="70"/>
      <c r="C149" s="70"/>
      <c r="D149" s="71"/>
      <c r="E149" s="61"/>
      <c r="F149" s="61"/>
    </row>
    <row r="150" spans="2:6" ht="18.75">
      <c r="B150" s="60"/>
      <c r="C150" s="60"/>
      <c r="D150" s="60"/>
      <c r="E150" s="60"/>
      <c r="F150" s="60"/>
    </row>
    <row r="151" spans="2:6" ht="18.75">
      <c r="B151" s="60"/>
      <c r="C151" s="60"/>
      <c r="D151" s="60"/>
      <c r="E151" s="60"/>
      <c r="F151" s="60"/>
    </row>
    <row r="152" spans="2:6" ht="18.75">
      <c r="B152" s="60"/>
      <c r="C152" s="60"/>
      <c r="D152" s="60"/>
      <c r="E152" s="60"/>
      <c r="F152" s="60"/>
    </row>
    <row r="153" spans="2:6" ht="18.75">
      <c r="B153" s="60"/>
      <c r="C153" s="60"/>
      <c r="D153" s="60"/>
      <c r="E153" s="60"/>
      <c r="F153" s="60"/>
    </row>
    <row r="154" spans="2:6" ht="18.75">
      <c r="B154" s="60"/>
      <c r="C154" s="60"/>
      <c r="D154" s="60"/>
      <c r="E154" s="60"/>
      <c r="F154" s="60"/>
    </row>
    <row r="155" spans="2:6" ht="18.75">
      <c r="B155" s="60"/>
      <c r="C155" s="60"/>
      <c r="D155" s="60"/>
      <c r="E155" s="60"/>
      <c r="F155" s="60"/>
    </row>
    <row r="156" spans="2:6" ht="18.75">
      <c r="B156" s="60"/>
      <c r="C156" s="60"/>
      <c r="D156" s="60"/>
      <c r="E156" s="60"/>
      <c r="F156" s="60"/>
    </row>
    <row r="157" spans="2:6" ht="18.75">
      <c r="B157" s="60"/>
      <c r="C157" s="60"/>
      <c r="D157" s="60"/>
      <c r="E157" s="60"/>
      <c r="F157" s="60"/>
    </row>
    <row r="158" spans="2:6" ht="18.75">
      <c r="B158" s="60"/>
      <c r="C158" s="60"/>
      <c r="D158" s="60"/>
      <c r="E158" s="60"/>
      <c r="F158" s="60"/>
    </row>
    <row r="159" spans="2:6" ht="18.75">
      <c r="B159" s="60"/>
      <c r="C159" s="60"/>
      <c r="D159" s="60"/>
      <c r="E159" s="60"/>
      <c r="F159" s="60"/>
    </row>
    <row r="160" spans="2:6" ht="18.75">
      <c r="B160" s="60"/>
      <c r="C160" s="60"/>
      <c r="D160" s="60"/>
      <c r="E160" s="60"/>
      <c r="F160" s="60"/>
    </row>
    <row r="161" spans="1:6" ht="18.75">
      <c r="A161" s="60"/>
      <c r="B161" s="60"/>
      <c r="C161" s="60"/>
      <c r="D161" s="60"/>
      <c r="E161" s="60"/>
      <c r="F161" s="60"/>
    </row>
    <row r="162" spans="1:6" ht="18.75">
      <c r="A162" s="60"/>
      <c r="B162" s="60"/>
      <c r="C162" s="60"/>
      <c r="D162" s="60"/>
      <c r="E162" s="60"/>
      <c r="F162" s="60"/>
    </row>
    <row r="163" spans="1:6" ht="18.75">
      <c r="A163" s="60"/>
      <c r="B163" s="60"/>
      <c r="C163" s="60"/>
      <c r="D163" s="60"/>
      <c r="E163" s="60"/>
      <c r="F163" s="60"/>
    </row>
    <row r="164" spans="1:6" ht="18.75">
      <c r="A164" s="60"/>
      <c r="B164" s="60"/>
      <c r="C164" s="60"/>
      <c r="D164" s="60"/>
      <c r="E164" s="60"/>
      <c r="F164" s="60"/>
    </row>
    <row r="165" spans="1:6" ht="18.75">
      <c r="A165" s="60"/>
      <c r="B165" s="60"/>
      <c r="C165" s="60"/>
      <c r="D165" s="60"/>
      <c r="E165" s="60"/>
      <c r="F165" s="60"/>
    </row>
    <row r="166" spans="1:6" ht="18.75">
      <c r="A166" s="60"/>
      <c r="B166" s="60"/>
      <c r="C166" s="60"/>
      <c r="D166" s="60"/>
      <c r="E166" s="60"/>
      <c r="F166" s="60"/>
    </row>
    <row r="167" spans="1:6" ht="18.75">
      <c r="A167" s="60"/>
      <c r="B167" s="60"/>
      <c r="C167" s="60"/>
      <c r="D167" s="60"/>
      <c r="E167" s="60"/>
      <c r="F167" s="60"/>
    </row>
    <row r="168" spans="1:6" ht="18.75">
      <c r="A168" s="60"/>
      <c r="B168" s="60"/>
      <c r="C168" s="60"/>
      <c r="D168" s="60"/>
      <c r="E168" s="60"/>
      <c r="F168" s="60"/>
    </row>
    <row r="169" spans="1:6" ht="18.75">
      <c r="A169" s="60"/>
      <c r="B169" s="60"/>
      <c r="C169" s="60"/>
      <c r="D169" s="60"/>
      <c r="E169" s="60"/>
      <c r="F169" s="60"/>
    </row>
    <row r="170" spans="1:6" ht="18.75">
      <c r="A170" s="60"/>
      <c r="B170" s="60"/>
      <c r="C170" s="60"/>
      <c r="D170" s="60"/>
      <c r="E170" s="60"/>
      <c r="F170" s="60"/>
    </row>
    <row r="171" spans="1:6" ht="18.75">
      <c r="A171" s="60"/>
      <c r="B171" s="60"/>
      <c r="C171" s="60"/>
      <c r="D171" s="60"/>
      <c r="E171" s="60"/>
      <c r="F171" s="60"/>
    </row>
    <row r="172" spans="1:6" ht="18.75">
      <c r="A172" s="60"/>
      <c r="B172" s="60"/>
      <c r="C172" s="60"/>
      <c r="D172" s="60"/>
      <c r="E172" s="60"/>
      <c r="F172" s="60"/>
    </row>
    <row r="173" spans="1:6" ht="18.75">
      <c r="A173" s="60"/>
      <c r="B173" s="60"/>
      <c r="C173" s="60"/>
      <c r="D173" s="60"/>
      <c r="E173" s="60"/>
      <c r="F173" s="60"/>
    </row>
    <row r="174" spans="1:6" ht="18.75">
      <c r="A174" s="60"/>
      <c r="B174" s="60"/>
      <c r="C174" s="60"/>
      <c r="D174" s="60"/>
      <c r="E174" s="60"/>
      <c r="F174" s="60"/>
    </row>
    <row r="175" spans="1:6" ht="18.75">
      <c r="A175" s="60"/>
      <c r="B175" s="60"/>
      <c r="C175" s="60"/>
      <c r="D175" s="60"/>
      <c r="E175" s="60"/>
      <c r="F175" s="60"/>
    </row>
    <row r="176" spans="1:6" ht="18.75">
      <c r="A176" s="60"/>
      <c r="B176" s="60"/>
      <c r="C176" s="60"/>
      <c r="D176" s="60"/>
      <c r="E176" s="60"/>
      <c r="F176" s="60"/>
    </row>
    <row r="177" spans="1:6" ht="18.75">
      <c r="A177" s="60"/>
      <c r="B177" s="60"/>
      <c r="C177" s="60"/>
      <c r="D177" s="60"/>
      <c r="E177" s="60"/>
      <c r="F177" s="60"/>
    </row>
    <row r="178" spans="1:6" ht="18.75">
      <c r="A178" s="60"/>
      <c r="B178" s="60"/>
      <c r="C178" s="60"/>
      <c r="D178" s="60"/>
      <c r="E178" s="60"/>
      <c r="F178" s="60"/>
    </row>
    <row r="179" spans="1:6" ht="18.75">
      <c r="A179" s="60"/>
      <c r="B179" s="60"/>
      <c r="C179" s="60"/>
      <c r="D179" s="60"/>
      <c r="E179" s="60"/>
      <c r="F179" s="60"/>
    </row>
    <row r="180" spans="1:6" ht="18.75">
      <c r="A180" s="60"/>
      <c r="B180" s="60"/>
      <c r="C180" s="60"/>
      <c r="D180" s="60"/>
      <c r="E180" s="60"/>
      <c r="F180" s="60"/>
    </row>
    <row r="181" spans="1:6" ht="18.75">
      <c r="A181" s="60"/>
      <c r="B181" s="60"/>
      <c r="C181" s="60"/>
      <c r="D181" s="60"/>
      <c r="E181" s="60"/>
      <c r="F181" s="60"/>
    </row>
    <row r="182" spans="1:6" ht="18.75">
      <c r="A182" s="60"/>
      <c r="B182" s="60"/>
      <c r="C182" s="60"/>
      <c r="D182" s="60"/>
      <c r="E182" s="60"/>
      <c r="F182" s="60"/>
    </row>
    <row r="183" spans="1:6" ht="18.75">
      <c r="A183" s="60"/>
      <c r="B183" s="60"/>
      <c r="C183" s="60"/>
      <c r="D183" s="60"/>
      <c r="E183" s="60"/>
      <c r="F183" s="60"/>
    </row>
    <row r="184" spans="1:6" ht="18.75">
      <c r="A184" s="60"/>
      <c r="B184" s="60"/>
      <c r="C184" s="60"/>
      <c r="D184" s="60"/>
      <c r="E184" s="60"/>
      <c r="F184" s="60"/>
    </row>
    <row r="185" spans="1:6" ht="18.75">
      <c r="A185" s="60"/>
      <c r="B185" s="60"/>
      <c r="C185" s="60"/>
      <c r="D185" s="60"/>
      <c r="E185" s="60"/>
      <c r="F185" s="60"/>
    </row>
    <row r="186" spans="1:6" ht="18.75">
      <c r="A186" s="60"/>
      <c r="B186" s="60"/>
      <c r="C186" s="60"/>
      <c r="D186" s="60"/>
      <c r="E186" s="60"/>
      <c r="F186" s="60"/>
    </row>
    <row r="187" spans="1:6" ht="18.75">
      <c r="A187" s="60"/>
      <c r="B187" s="60"/>
      <c r="C187" s="60"/>
      <c r="D187" s="60"/>
      <c r="E187" s="60"/>
      <c r="F187" s="60"/>
    </row>
    <row r="188" spans="1:6" ht="18.75">
      <c r="A188" s="60"/>
      <c r="B188" s="60"/>
      <c r="C188" s="60"/>
      <c r="D188" s="60"/>
      <c r="E188" s="60"/>
      <c r="F188" s="60"/>
    </row>
    <row r="189" spans="1:6" ht="18.75">
      <c r="A189" s="60"/>
      <c r="B189" s="60"/>
      <c r="C189" s="60"/>
      <c r="D189" s="60"/>
      <c r="E189" s="60"/>
      <c r="F189" s="60"/>
    </row>
    <row r="190" spans="1:6" ht="18.75">
      <c r="A190" s="60"/>
      <c r="B190" s="60"/>
      <c r="C190" s="60"/>
      <c r="D190" s="60"/>
      <c r="E190" s="60"/>
      <c r="F190" s="60"/>
    </row>
    <row r="191" spans="1:6" ht="18.75">
      <c r="A191" s="60"/>
      <c r="B191" s="60"/>
      <c r="C191" s="60"/>
      <c r="D191" s="60"/>
      <c r="E191" s="60"/>
      <c r="F191" s="60"/>
    </row>
    <row r="192" spans="1:6" ht="18.75">
      <c r="A192" s="60"/>
      <c r="B192" s="60"/>
      <c r="C192" s="60"/>
      <c r="D192" s="60"/>
      <c r="E192" s="60"/>
      <c r="F192" s="60"/>
    </row>
    <row r="193" spans="1:6" ht="18.75">
      <c r="A193" s="60"/>
      <c r="B193" s="60"/>
      <c r="C193" s="60"/>
      <c r="D193" s="60"/>
      <c r="E193" s="60"/>
      <c r="F193" s="60"/>
    </row>
    <row r="194" spans="1:6" ht="18.75">
      <c r="A194" s="60"/>
      <c r="B194" s="60"/>
      <c r="C194" s="60"/>
      <c r="D194" s="60"/>
      <c r="E194" s="60"/>
      <c r="F194" s="60"/>
    </row>
    <row r="195" spans="1:6" ht="18.75">
      <c r="A195" s="60"/>
      <c r="B195" s="60"/>
      <c r="C195" s="60"/>
      <c r="D195" s="60"/>
      <c r="E195" s="60"/>
      <c r="F195" s="60"/>
    </row>
    <row r="196" spans="1:6" ht="18.75">
      <c r="A196" s="60"/>
      <c r="B196" s="60"/>
      <c r="C196" s="60"/>
      <c r="D196" s="60"/>
      <c r="E196" s="60"/>
      <c r="F196" s="60"/>
    </row>
    <row r="197" spans="1:6" ht="18.75">
      <c r="A197" s="60"/>
      <c r="B197" s="60"/>
      <c r="C197" s="60"/>
      <c r="D197" s="60"/>
      <c r="E197" s="60"/>
      <c r="F197" s="60"/>
    </row>
    <row r="198" spans="1:6" ht="18.75">
      <c r="A198" s="60"/>
      <c r="B198" s="60"/>
      <c r="C198" s="60"/>
      <c r="D198" s="60"/>
      <c r="E198" s="60"/>
      <c r="F198" s="60"/>
    </row>
    <row r="199" spans="1:6" ht="18.75">
      <c r="A199" s="60"/>
      <c r="B199" s="60"/>
      <c r="C199" s="60"/>
      <c r="D199" s="60"/>
      <c r="E199" s="60"/>
      <c r="F199" s="60"/>
    </row>
    <row r="200" spans="1:6" ht="18.75">
      <c r="A200" s="60"/>
      <c r="B200" s="60"/>
      <c r="C200" s="60"/>
      <c r="D200" s="60"/>
      <c r="E200" s="60"/>
      <c r="F200" s="60"/>
    </row>
    <row r="201" spans="1:6" ht="18.75">
      <c r="A201" s="60"/>
      <c r="B201" s="60"/>
      <c r="C201" s="60"/>
      <c r="D201" s="60"/>
      <c r="E201" s="60"/>
      <c r="F201" s="60"/>
    </row>
    <row r="202" spans="1:6" ht="18.75">
      <c r="A202" s="60"/>
      <c r="B202" s="60"/>
      <c r="C202" s="60"/>
      <c r="D202" s="60"/>
      <c r="E202" s="60"/>
      <c r="F202" s="60"/>
    </row>
    <row r="203" spans="1:6" ht="18.75">
      <c r="A203" s="60"/>
      <c r="B203" s="60"/>
      <c r="C203" s="60"/>
      <c r="D203" s="60"/>
      <c r="E203" s="60"/>
      <c r="F203" s="60"/>
    </row>
    <row r="204" spans="1:6" ht="18.75">
      <c r="A204" s="60"/>
      <c r="B204" s="60"/>
      <c r="C204" s="60"/>
      <c r="D204" s="60"/>
      <c r="E204" s="60"/>
      <c r="F204" s="60"/>
    </row>
    <row r="205" spans="1:6" ht="18.75">
      <c r="A205" s="60"/>
      <c r="B205" s="60"/>
      <c r="C205" s="60"/>
      <c r="D205" s="60"/>
      <c r="E205" s="60"/>
      <c r="F205" s="60"/>
    </row>
    <row r="206" spans="1:6" ht="18.75">
      <c r="A206" s="60"/>
      <c r="B206" s="60"/>
      <c r="C206" s="60"/>
      <c r="D206" s="60"/>
      <c r="E206" s="60"/>
      <c r="F206" s="60"/>
    </row>
    <row r="207" spans="1:6" ht="18.75">
      <c r="A207" s="60"/>
      <c r="B207" s="60"/>
      <c r="C207" s="60"/>
      <c r="D207" s="60"/>
      <c r="E207" s="60"/>
      <c r="F207" s="60"/>
    </row>
    <row r="208" spans="1:6" ht="18.75">
      <c r="A208" s="60"/>
      <c r="B208" s="60"/>
      <c r="C208" s="60"/>
      <c r="D208" s="60"/>
      <c r="E208" s="60"/>
      <c r="F208" s="60"/>
    </row>
    <row r="209" spans="1:6" ht="18.75">
      <c r="A209" s="60"/>
      <c r="B209" s="60"/>
      <c r="C209" s="60"/>
      <c r="D209" s="60"/>
      <c r="E209" s="60"/>
      <c r="F209" s="60"/>
    </row>
    <row r="210" spans="1:6" ht="18.75">
      <c r="A210" s="60"/>
      <c r="B210" s="60"/>
      <c r="C210" s="60"/>
      <c r="D210" s="60"/>
      <c r="E210" s="60"/>
      <c r="F210" s="60"/>
    </row>
    <row r="211" spans="1:6" ht="18.75">
      <c r="A211" s="60"/>
      <c r="B211" s="60"/>
      <c r="C211" s="60"/>
      <c r="D211" s="60"/>
      <c r="E211" s="60"/>
      <c r="F211" s="60"/>
    </row>
    <row r="212" spans="1:6" ht="18.75">
      <c r="A212" s="60"/>
      <c r="B212" s="60"/>
      <c r="C212" s="60"/>
      <c r="D212" s="60"/>
      <c r="E212" s="60"/>
      <c r="F212" s="60"/>
    </row>
    <row r="213" spans="1:6" ht="18.75">
      <c r="A213" s="60"/>
      <c r="B213" s="60"/>
      <c r="C213" s="60"/>
      <c r="D213" s="60"/>
      <c r="E213" s="60"/>
      <c r="F213" s="60"/>
    </row>
    <row r="214" spans="1:6" ht="18.75">
      <c r="A214" s="60"/>
      <c r="B214" s="60"/>
      <c r="C214" s="60"/>
      <c r="D214" s="60"/>
      <c r="E214" s="60"/>
      <c r="F214" s="60"/>
    </row>
    <row r="215" spans="1:6" ht="18.75">
      <c r="A215" s="60"/>
      <c r="B215" s="60"/>
      <c r="C215" s="60"/>
      <c r="D215" s="60"/>
      <c r="E215" s="60"/>
      <c r="F215" s="60"/>
    </row>
    <row r="216" spans="1:6" ht="18.75">
      <c r="A216" s="60"/>
      <c r="B216" s="60"/>
      <c r="C216" s="60"/>
      <c r="D216" s="60"/>
      <c r="E216" s="60"/>
      <c r="F216" s="60"/>
    </row>
    <row r="217" spans="1:6" ht="18.75">
      <c r="A217" s="60"/>
      <c r="B217" s="60"/>
      <c r="C217" s="60"/>
      <c r="D217" s="60"/>
      <c r="E217" s="60"/>
      <c r="F217" s="60"/>
    </row>
    <row r="218" spans="1:6" ht="18.75">
      <c r="A218" s="60"/>
      <c r="B218" s="60"/>
      <c r="C218" s="60"/>
      <c r="D218" s="60"/>
      <c r="E218" s="60"/>
      <c r="F218" s="60"/>
    </row>
    <row r="219" spans="1:6" ht="18.75">
      <c r="A219" s="60"/>
      <c r="B219" s="60"/>
      <c r="C219" s="60"/>
      <c r="D219" s="60"/>
      <c r="E219" s="60"/>
      <c r="F219" s="60"/>
    </row>
    <row r="220" spans="1:6" ht="18.75">
      <c r="A220" s="60"/>
      <c r="B220" s="60"/>
      <c r="C220" s="60"/>
      <c r="D220" s="60"/>
      <c r="E220" s="60"/>
      <c r="F220" s="60"/>
    </row>
    <row r="221" spans="1:6" ht="18.75">
      <c r="A221" s="60"/>
      <c r="B221" s="60"/>
      <c r="C221" s="60"/>
      <c r="D221" s="60"/>
      <c r="E221" s="60"/>
      <c r="F221" s="60"/>
    </row>
    <row r="222" spans="1:6" ht="18.75">
      <c r="A222" s="60"/>
      <c r="B222" s="60"/>
      <c r="C222" s="60"/>
      <c r="D222" s="60"/>
      <c r="E222" s="60"/>
      <c r="F222" s="60"/>
    </row>
    <row r="223" spans="1:6" ht="18.75">
      <c r="A223" s="60"/>
      <c r="B223" s="60"/>
      <c r="C223" s="60"/>
      <c r="D223" s="60"/>
      <c r="E223" s="60"/>
      <c r="F223" s="60"/>
    </row>
    <row r="224" spans="1:6" ht="18.75">
      <c r="A224" s="60"/>
      <c r="B224" s="60"/>
      <c r="C224" s="60"/>
      <c r="D224" s="60"/>
      <c r="E224" s="60"/>
      <c r="F224" s="60"/>
    </row>
    <row r="225" spans="1:6" ht="18.75">
      <c r="A225" s="60"/>
      <c r="B225" s="60"/>
      <c r="C225" s="60"/>
      <c r="D225" s="60"/>
      <c r="E225" s="60"/>
      <c r="F225" s="60"/>
    </row>
    <row r="226" spans="1:6" ht="18.75">
      <c r="A226" s="60"/>
      <c r="B226" s="60"/>
      <c r="C226" s="60"/>
      <c r="D226" s="60"/>
      <c r="E226" s="60"/>
      <c r="F226" s="60"/>
    </row>
    <row r="227" spans="1:6" ht="18.75">
      <c r="A227" s="60"/>
      <c r="B227" s="60"/>
      <c r="C227" s="60"/>
      <c r="D227" s="60"/>
      <c r="E227" s="60"/>
      <c r="F227" s="60"/>
    </row>
    <row r="228" spans="1:6" ht="18.75">
      <c r="A228" s="60"/>
      <c r="B228" s="60"/>
      <c r="C228" s="60"/>
      <c r="D228" s="60"/>
      <c r="E228" s="60"/>
      <c r="F228" s="60"/>
    </row>
    <row r="229" spans="1:6" ht="18.75">
      <c r="A229" s="60"/>
      <c r="B229" s="60"/>
      <c r="C229" s="60"/>
      <c r="D229" s="60"/>
      <c r="E229" s="60"/>
      <c r="F229" s="60"/>
    </row>
    <row r="230" spans="1:6" ht="18.75">
      <c r="A230" s="60"/>
      <c r="B230" s="60"/>
      <c r="C230" s="60"/>
      <c r="D230" s="60"/>
      <c r="E230" s="60"/>
      <c r="F230" s="60"/>
    </row>
    <row r="231" spans="1:6" ht="18.75">
      <c r="A231" s="60"/>
      <c r="B231" s="60"/>
      <c r="C231" s="60"/>
      <c r="D231" s="60"/>
      <c r="E231" s="60"/>
      <c r="F231" s="60"/>
    </row>
    <row r="232" spans="1:6" ht="18.75">
      <c r="A232" s="60"/>
      <c r="B232" s="60"/>
      <c r="C232" s="60"/>
      <c r="D232" s="60"/>
      <c r="E232" s="60"/>
      <c r="F232" s="60"/>
    </row>
    <row r="233" spans="1:6" ht="18.75">
      <c r="A233" s="60"/>
      <c r="B233" s="60"/>
      <c r="C233" s="60"/>
      <c r="D233" s="60"/>
      <c r="E233" s="60"/>
      <c r="F233" s="60"/>
    </row>
    <row r="234" spans="1:6" ht="18.75">
      <c r="A234" s="60"/>
      <c r="B234" s="60"/>
      <c r="C234" s="60"/>
      <c r="D234" s="60"/>
      <c r="E234" s="60"/>
      <c r="F234" s="60"/>
    </row>
    <row r="235" spans="1:6" ht="18.75">
      <c r="A235" s="60"/>
      <c r="B235" s="60"/>
      <c r="C235" s="60"/>
      <c r="D235" s="60"/>
      <c r="E235" s="60"/>
      <c r="F235" s="60"/>
    </row>
    <row r="236" spans="1:6" ht="18.75">
      <c r="A236" s="60"/>
      <c r="B236" s="60"/>
      <c r="C236" s="60"/>
      <c r="D236" s="60"/>
      <c r="E236" s="60"/>
      <c r="F236" s="60"/>
    </row>
    <row r="237" spans="1:6" ht="18.75">
      <c r="A237" s="60"/>
      <c r="B237" s="60"/>
      <c r="C237" s="60"/>
      <c r="D237" s="60"/>
      <c r="E237" s="60"/>
      <c r="F237" s="60"/>
    </row>
    <row r="238" spans="1:6" ht="18.75">
      <c r="A238" s="60"/>
      <c r="B238" s="60"/>
      <c r="C238" s="60"/>
      <c r="D238" s="60"/>
      <c r="E238" s="60"/>
      <c r="F238" s="60"/>
    </row>
    <row r="239" spans="1:6" ht="18.75">
      <c r="A239" s="60"/>
      <c r="B239" s="60"/>
      <c r="C239" s="60"/>
      <c r="D239" s="60"/>
      <c r="E239" s="60"/>
      <c r="F239" s="60"/>
    </row>
    <row r="240" spans="1:6" ht="18.75">
      <c r="A240" s="60"/>
      <c r="B240" s="60"/>
      <c r="C240" s="60"/>
      <c r="D240" s="60"/>
      <c r="E240" s="60"/>
      <c r="F240" s="60"/>
    </row>
    <row r="241" spans="1:6" ht="18.75">
      <c r="A241" s="60"/>
      <c r="B241" s="60"/>
      <c r="C241" s="60"/>
      <c r="D241" s="60"/>
      <c r="E241" s="60"/>
      <c r="F241" s="60"/>
    </row>
    <row r="242" spans="1:6" ht="18.75">
      <c r="A242" s="60"/>
      <c r="B242" s="60"/>
      <c r="C242" s="60"/>
      <c r="D242" s="60"/>
      <c r="E242" s="60"/>
      <c r="F242" s="60"/>
    </row>
    <row r="243" spans="1:6" ht="18.75">
      <c r="A243" s="60"/>
      <c r="B243" s="60"/>
      <c r="C243" s="60"/>
      <c r="D243" s="60"/>
      <c r="E243" s="60"/>
      <c r="F243" s="60"/>
    </row>
    <row r="244" spans="1:6" ht="18.75">
      <c r="A244" s="60"/>
      <c r="B244" s="60"/>
      <c r="C244" s="60"/>
      <c r="D244" s="60"/>
      <c r="E244" s="60"/>
      <c r="F244" s="60"/>
    </row>
    <row r="245" spans="1:6" ht="18.75">
      <c r="A245" s="60"/>
      <c r="B245" s="60"/>
      <c r="C245" s="60"/>
      <c r="D245" s="60"/>
      <c r="E245" s="60"/>
      <c r="F245" s="60"/>
    </row>
    <row r="246" spans="1:6" ht="18.75">
      <c r="A246" s="60"/>
      <c r="B246" s="60"/>
      <c r="C246" s="60"/>
      <c r="D246" s="60"/>
      <c r="E246" s="60"/>
      <c r="F246" s="60"/>
    </row>
    <row r="247" spans="1:6" ht="18.75">
      <c r="A247" s="60"/>
      <c r="B247" s="60"/>
      <c r="C247" s="60"/>
      <c r="D247" s="60"/>
      <c r="E247" s="60"/>
      <c r="F247" s="60"/>
    </row>
    <row r="248" spans="1:6" ht="18.75">
      <c r="A248" s="60"/>
      <c r="B248" s="60"/>
      <c r="C248" s="60"/>
      <c r="D248" s="60"/>
      <c r="E248" s="60"/>
      <c r="F248" s="60"/>
    </row>
    <row r="249" spans="1:6" ht="18.75">
      <c r="A249" s="60"/>
      <c r="B249" s="60"/>
      <c r="C249" s="60"/>
      <c r="D249" s="60"/>
      <c r="E249" s="60"/>
      <c r="F249" s="60"/>
    </row>
    <row r="250" spans="1:6" ht="18.75">
      <c r="A250" s="60"/>
      <c r="B250" s="60"/>
      <c r="C250" s="60"/>
      <c r="D250" s="60"/>
      <c r="E250" s="60"/>
      <c r="F250" s="60"/>
    </row>
    <row r="251" spans="1:6" ht="18.75">
      <c r="A251" s="60"/>
      <c r="B251" s="60"/>
      <c r="C251" s="60"/>
      <c r="D251" s="60"/>
      <c r="E251" s="60"/>
      <c r="F251" s="60"/>
    </row>
    <row r="252" spans="1:6" ht="18.75">
      <c r="A252" s="60"/>
      <c r="B252" s="60"/>
      <c r="C252" s="60"/>
      <c r="D252" s="60"/>
      <c r="E252" s="60"/>
      <c r="F252" s="60"/>
    </row>
    <row r="253" spans="1:6" ht="18.75">
      <c r="A253" s="60"/>
      <c r="B253" s="60"/>
      <c r="C253" s="60"/>
      <c r="D253" s="60"/>
      <c r="E253" s="60"/>
      <c r="F253" s="60"/>
    </row>
    <row r="254" spans="1:6" ht="18.75">
      <c r="A254" s="60"/>
      <c r="B254" s="60"/>
      <c r="C254" s="60"/>
      <c r="D254" s="60"/>
      <c r="E254" s="60"/>
      <c r="F254" s="60"/>
    </row>
    <row r="255" spans="1:6" ht="18.75">
      <c r="A255" s="60"/>
      <c r="B255" s="60"/>
      <c r="C255" s="60"/>
      <c r="D255" s="60"/>
      <c r="E255" s="60"/>
      <c r="F255" s="60"/>
    </row>
    <row r="256" spans="1:6" ht="18.75">
      <c r="A256" s="60"/>
      <c r="B256" s="60"/>
      <c r="C256" s="60"/>
      <c r="D256" s="60"/>
      <c r="E256" s="60"/>
      <c r="F256" s="60"/>
    </row>
    <row r="257" spans="1:6" ht="18.75">
      <c r="A257" s="60"/>
      <c r="B257" s="60"/>
      <c r="C257" s="60"/>
      <c r="D257" s="60"/>
      <c r="E257" s="60"/>
      <c r="F257" s="60"/>
    </row>
    <row r="258" spans="1:6" ht="18.75">
      <c r="A258" s="60"/>
      <c r="B258" s="60"/>
      <c r="C258" s="60"/>
      <c r="D258" s="60"/>
      <c r="E258" s="60"/>
      <c r="F258" s="60"/>
    </row>
    <row r="259" spans="1:6" ht="18.75">
      <c r="A259" s="60"/>
      <c r="B259" s="60"/>
      <c r="C259" s="60"/>
      <c r="D259" s="60"/>
      <c r="E259" s="60"/>
      <c r="F259" s="60"/>
    </row>
    <row r="260" spans="1:6" ht="18.75">
      <c r="A260" s="60"/>
      <c r="B260" s="60"/>
      <c r="C260" s="60"/>
      <c r="D260" s="60"/>
      <c r="E260" s="60"/>
      <c r="F260" s="60"/>
    </row>
    <row r="261" spans="1:6" ht="18.75">
      <c r="A261" s="60"/>
      <c r="B261" s="60"/>
      <c r="C261" s="60"/>
      <c r="D261" s="60"/>
      <c r="E261" s="60"/>
      <c r="F261" s="60"/>
    </row>
    <row r="262" spans="1:6" ht="18.75">
      <c r="A262" s="60"/>
      <c r="B262" s="60"/>
      <c r="C262" s="60"/>
      <c r="D262" s="60"/>
      <c r="E262" s="60"/>
      <c r="F262" s="60"/>
    </row>
    <row r="263" spans="1:6" ht="18.75">
      <c r="A263" s="60"/>
      <c r="B263" s="60"/>
      <c r="C263" s="60"/>
      <c r="D263" s="60"/>
      <c r="E263" s="60"/>
      <c r="F263" s="60"/>
    </row>
    <row r="264" spans="1:6" ht="18.75">
      <c r="A264" s="60"/>
      <c r="B264" s="60"/>
      <c r="C264" s="60"/>
      <c r="D264" s="60"/>
      <c r="E264" s="60"/>
      <c r="F264" s="60"/>
    </row>
    <row r="265" spans="1:6" ht="18.75">
      <c r="A265" s="60"/>
      <c r="B265" s="60"/>
      <c r="C265" s="60"/>
      <c r="D265" s="60"/>
      <c r="E265" s="60"/>
      <c r="F265" s="60"/>
    </row>
    <row r="266" spans="1:6" ht="18.75">
      <c r="A266" s="60"/>
      <c r="B266" s="60"/>
      <c r="C266" s="60"/>
      <c r="D266" s="60"/>
      <c r="E266" s="60"/>
      <c r="F266" s="60"/>
    </row>
    <row r="267" spans="1:6" ht="18.75">
      <c r="A267" s="60"/>
      <c r="B267" s="60"/>
      <c r="C267" s="60"/>
      <c r="D267" s="60"/>
      <c r="E267" s="60"/>
      <c r="F267" s="60"/>
    </row>
    <row r="268" spans="1:6" ht="18.75">
      <c r="A268" s="60"/>
      <c r="B268" s="60"/>
      <c r="C268" s="60"/>
      <c r="D268" s="60"/>
      <c r="E268" s="60"/>
      <c r="F268" s="60"/>
    </row>
    <row r="269" spans="1:6" ht="18.75">
      <c r="A269" s="60"/>
      <c r="B269" s="60"/>
      <c r="C269" s="60"/>
      <c r="D269" s="60"/>
      <c r="E269" s="60"/>
      <c r="F269" s="60"/>
    </row>
    <row r="270" spans="1:6" ht="18.75">
      <c r="A270" s="60"/>
      <c r="B270" s="60"/>
      <c r="C270" s="60"/>
      <c r="D270" s="60"/>
      <c r="E270" s="60"/>
      <c r="F270" s="60"/>
    </row>
    <row r="271" spans="1:6" ht="18.75">
      <c r="A271" s="60"/>
      <c r="B271" s="60"/>
      <c r="C271" s="60"/>
      <c r="D271" s="60"/>
      <c r="E271" s="60"/>
      <c r="F271" s="60"/>
    </row>
    <row r="272" spans="1:6" ht="18.75">
      <c r="A272" s="60"/>
      <c r="B272" s="60"/>
      <c r="C272" s="60"/>
      <c r="D272" s="60"/>
      <c r="E272" s="60"/>
      <c r="F272" s="60"/>
    </row>
    <row r="273" spans="1:6" ht="18.75">
      <c r="A273" s="60"/>
      <c r="B273" s="60"/>
      <c r="C273" s="60"/>
      <c r="D273" s="60"/>
      <c r="E273" s="60"/>
      <c r="F273" s="60"/>
    </row>
    <row r="274" spans="1:6" ht="18.75">
      <c r="A274" s="60"/>
      <c r="B274" s="60"/>
      <c r="C274" s="60"/>
      <c r="D274" s="60"/>
      <c r="E274" s="60"/>
      <c r="F274" s="60"/>
    </row>
    <row r="275" spans="1:6" ht="18.75">
      <c r="A275" s="60"/>
      <c r="B275" s="60"/>
      <c r="C275" s="60"/>
      <c r="D275" s="60"/>
      <c r="E275" s="60"/>
      <c r="F275" s="60"/>
    </row>
    <row r="276" spans="1:6" ht="18.75">
      <c r="A276" s="60"/>
      <c r="B276" s="60"/>
      <c r="C276" s="60"/>
      <c r="D276" s="60"/>
      <c r="E276" s="60"/>
      <c r="F276" s="60"/>
    </row>
    <row r="277" spans="1:6" ht="18.75">
      <c r="A277" s="60"/>
      <c r="B277" s="60"/>
      <c r="C277" s="60"/>
      <c r="D277" s="60"/>
      <c r="E277" s="60"/>
      <c r="F277" s="60"/>
    </row>
    <row r="278" spans="1:6" ht="18.75">
      <c r="A278" s="60"/>
      <c r="B278" s="60"/>
      <c r="C278" s="60"/>
      <c r="D278" s="60"/>
      <c r="E278" s="60"/>
      <c r="F278" s="60"/>
    </row>
    <row r="279" spans="1:6" ht="18.75">
      <c r="A279" s="60"/>
      <c r="B279" s="60"/>
      <c r="C279" s="60"/>
      <c r="D279" s="60"/>
      <c r="E279" s="60"/>
      <c r="F279" s="60"/>
    </row>
    <row r="280" spans="1:6" ht="18.75">
      <c r="A280" s="60"/>
      <c r="B280" s="60"/>
      <c r="C280" s="60"/>
      <c r="D280" s="60"/>
      <c r="E280" s="60"/>
      <c r="F280" s="60"/>
    </row>
    <row r="281" spans="1:6" ht="18.75">
      <c r="A281" s="60"/>
      <c r="B281" s="60"/>
      <c r="C281" s="60"/>
      <c r="D281" s="60"/>
      <c r="E281" s="60"/>
      <c r="F281" s="60"/>
    </row>
    <row r="282" spans="1:6" ht="18.75">
      <c r="A282" s="60"/>
      <c r="B282" s="60"/>
      <c r="C282" s="60"/>
      <c r="D282" s="60"/>
      <c r="E282" s="60"/>
      <c r="F282" s="60"/>
    </row>
    <row r="283" spans="1:6" ht="18.75">
      <c r="A283" s="60"/>
      <c r="B283" s="60"/>
      <c r="C283" s="60"/>
      <c r="D283" s="60"/>
      <c r="E283" s="60"/>
      <c r="F283" s="60"/>
    </row>
    <row r="284" spans="1:6" ht="18.75">
      <c r="A284" s="60"/>
      <c r="B284" s="60"/>
      <c r="C284" s="60"/>
      <c r="D284" s="60"/>
      <c r="E284" s="60"/>
      <c r="F284" s="60"/>
    </row>
    <row r="285" spans="1:6" ht="18.75">
      <c r="A285" s="60"/>
      <c r="B285" s="60"/>
      <c r="C285" s="60"/>
      <c r="D285" s="60"/>
      <c r="E285" s="60"/>
      <c r="F285" s="60"/>
    </row>
    <row r="286" spans="1:6" ht="18.75">
      <c r="A286" s="60"/>
      <c r="B286" s="60"/>
      <c r="C286" s="60"/>
      <c r="D286" s="60"/>
      <c r="E286" s="60"/>
      <c r="F286" s="60"/>
    </row>
    <row r="287" spans="1:6" ht="18.75">
      <c r="A287" s="60"/>
      <c r="B287" s="60"/>
      <c r="C287" s="60"/>
      <c r="D287" s="60"/>
      <c r="E287" s="60"/>
      <c r="F287" s="60"/>
    </row>
    <row r="288" spans="1:6" ht="18.75">
      <c r="A288" s="60"/>
      <c r="B288" s="60"/>
      <c r="C288" s="60"/>
      <c r="D288" s="60"/>
      <c r="E288" s="60"/>
      <c r="F288" s="60"/>
    </row>
    <row r="289" spans="1:6" ht="18.75">
      <c r="A289" s="60"/>
      <c r="B289" s="60"/>
      <c r="C289" s="60"/>
      <c r="D289" s="60"/>
      <c r="E289" s="60"/>
      <c r="F289" s="60"/>
    </row>
    <row r="290" spans="1:6" ht="18.75">
      <c r="A290" s="60"/>
      <c r="B290" s="60"/>
      <c r="C290" s="60"/>
      <c r="D290" s="60"/>
      <c r="E290" s="60"/>
      <c r="F290" s="60"/>
    </row>
    <row r="291" spans="1:6" ht="18.75">
      <c r="A291" s="60"/>
      <c r="B291" s="60"/>
      <c r="C291" s="60"/>
      <c r="D291" s="60"/>
      <c r="E291" s="60"/>
      <c r="F291" s="60"/>
    </row>
    <row r="292" spans="1:6" ht="18.75">
      <c r="A292" s="60"/>
      <c r="B292" s="60"/>
      <c r="C292" s="60"/>
      <c r="D292" s="60"/>
      <c r="E292" s="60"/>
      <c r="F292" s="60"/>
    </row>
    <row r="293" spans="1:6" ht="18.75">
      <c r="A293" s="60"/>
      <c r="B293" s="60"/>
      <c r="C293" s="60"/>
      <c r="D293" s="60"/>
      <c r="E293" s="60"/>
      <c r="F293" s="60"/>
    </row>
    <row r="294" spans="1:6" ht="18.75">
      <c r="A294" s="60"/>
      <c r="B294" s="60"/>
      <c r="C294" s="60"/>
      <c r="D294" s="60"/>
      <c r="E294" s="60"/>
      <c r="F294" s="60"/>
    </row>
    <row r="295" spans="1:6" ht="18.75">
      <c r="A295" s="60"/>
      <c r="B295" s="60"/>
      <c r="C295" s="60"/>
      <c r="D295" s="60"/>
      <c r="E295" s="60"/>
      <c r="F295" s="60"/>
    </row>
    <row r="296" spans="1:6" ht="18.75">
      <c r="A296" s="60"/>
      <c r="B296" s="60"/>
      <c r="C296" s="60"/>
      <c r="D296" s="60"/>
      <c r="E296" s="60"/>
      <c r="F296" s="60"/>
    </row>
    <row r="297" spans="1:6" ht="18.75">
      <c r="A297" s="60"/>
      <c r="B297" s="60"/>
      <c r="C297" s="60"/>
      <c r="D297" s="60"/>
      <c r="E297" s="60"/>
      <c r="F297" s="60"/>
    </row>
    <row r="298" spans="1:6" ht="18.75">
      <c r="A298" s="60"/>
      <c r="B298" s="60"/>
      <c r="C298" s="60"/>
      <c r="D298" s="60"/>
      <c r="E298" s="60"/>
      <c r="F298" s="60"/>
    </row>
    <row r="299" spans="1:6" ht="18.75">
      <c r="A299" s="60"/>
      <c r="B299" s="60"/>
      <c r="C299" s="60"/>
      <c r="D299" s="60"/>
      <c r="E299" s="60"/>
      <c r="F299" s="60"/>
    </row>
    <row r="300" spans="1:6" ht="18.75">
      <c r="A300" s="60"/>
      <c r="B300" s="60"/>
      <c r="C300" s="60"/>
      <c r="D300" s="60"/>
      <c r="E300" s="60"/>
      <c r="F300" s="60"/>
    </row>
    <row r="301" spans="1:6" ht="18.75">
      <c r="A301" s="60"/>
      <c r="B301" s="60"/>
      <c r="C301" s="60"/>
      <c r="D301" s="60"/>
      <c r="E301" s="60"/>
      <c r="F301" s="60"/>
    </row>
    <row r="302" spans="1:6" ht="18.75">
      <c r="A302" s="60"/>
      <c r="B302" s="60"/>
      <c r="C302" s="60"/>
      <c r="D302" s="60"/>
      <c r="E302" s="60"/>
      <c r="F302" s="60"/>
    </row>
    <row r="303" spans="1:6" ht="18.75">
      <c r="A303" s="60"/>
      <c r="B303" s="60"/>
      <c r="C303" s="60"/>
      <c r="D303" s="60"/>
      <c r="E303" s="60"/>
      <c r="F303" s="60"/>
    </row>
    <row r="304" spans="1:6" ht="18.75">
      <c r="A304" s="60"/>
      <c r="B304" s="60"/>
      <c r="C304" s="60"/>
      <c r="D304" s="60"/>
      <c r="E304" s="60"/>
      <c r="F304" s="60"/>
    </row>
    <row r="305" spans="1:6" ht="18.75">
      <c r="A305" s="60"/>
      <c r="B305" s="60"/>
      <c r="C305" s="60"/>
      <c r="D305" s="60"/>
      <c r="E305" s="60"/>
      <c r="F305" s="60"/>
    </row>
    <row r="306" spans="1:6" ht="18.75">
      <c r="A306" s="60"/>
      <c r="B306" s="60"/>
      <c r="C306" s="60"/>
      <c r="D306" s="60"/>
      <c r="E306" s="60"/>
      <c r="F306" s="60"/>
    </row>
    <row r="307" spans="1:6" ht="18.75">
      <c r="A307" s="60"/>
      <c r="B307" s="60"/>
      <c r="C307" s="60"/>
      <c r="D307" s="60"/>
      <c r="E307" s="60"/>
      <c r="F307" s="60"/>
    </row>
    <row r="308" spans="1:6" ht="18.75">
      <c r="A308" s="60"/>
      <c r="B308" s="60"/>
      <c r="C308" s="60"/>
      <c r="D308" s="60"/>
      <c r="E308" s="60"/>
      <c r="F308" s="60"/>
    </row>
    <row r="309" spans="1:6" ht="18.75">
      <c r="A309" s="60"/>
      <c r="B309" s="60"/>
      <c r="C309" s="60"/>
      <c r="D309" s="60"/>
      <c r="E309" s="60"/>
      <c r="F309" s="60"/>
    </row>
    <row r="310" spans="1:6" ht="18.75">
      <c r="A310" s="60"/>
      <c r="B310" s="60"/>
      <c r="C310" s="60"/>
      <c r="D310" s="60"/>
      <c r="E310" s="60"/>
      <c r="F310" s="60"/>
    </row>
    <row r="311" spans="1:6" ht="18.75">
      <c r="A311" s="60"/>
      <c r="B311" s="60"/>
      <c r="C311" s="60"/>
      <c r="D311" s="60"/>
      <c r="E311" s="60"/>
      <c r="F311" s="60"/>
    </row>
    <row r="312" spans="1:6" ht="18.75">
      <c r="A312" s="60"/>
      <c r="B312" s="60"/>
      <c r="C312" s="60"/>
      <c r="D312" s="60"/>
      <c r="E312" s="60"/>
      <c r="F312" s="60"/>
    </row>
    <row r="313" spans="1:6" ht="18.75">
      <c r="A313" s="60"/>
      <c r="B313" s="60"/>
      <c r="C313" s="60"/>
      <c r="D313" s="60"/>
      <c r="E313" s="60"/>
      <c r="F313" s="60"/>
    </row>
    <row r="314" spans="1:6" ht="18.75">
      <c r="A314" s="60"/>
      <c r="B314" s="60"/>
      <c r="C314" s="60"/>
      <c r="D314" s="60"/>
      <c r="E314" s="60"/>
      <c r="F314" s="60"/>
    </row>
    <row r="315" spans="1:6" ht="18.75">
      <c r="A315" s="60"/>
      <c r="B315" s="60"/>
      <c r="C315" s="60"/>
      <c r="D315" s="60"/>
      <c r="E315" s="60"/>
      <c r="F315" s="60"/>
    </row>
    <row r="316" spans="1:6" ht="18.75">
      <c r="A316" s="60"/>
      <c r="B316" s="60"/>
      <c r="C316" s="60"/>
      <c r="D316" s="60"/>
      <c r="E316" s="60"/>
      <c r="F316" s="60"/>
    </row>
    <row r="317" spans="1:6" ht="18.75">
      <c r="A317" s="60"/>
      <c r="B317" s="60"/>
      <c r="C317" s="60"/>
      <c r="D317" s="60"/>
      <c r="E317" s="60"/>
      <c r="F317" s="60"/>
    </row>
    <row r="318" spans="1:6" ht="18.75">
      <c r="A318" s="60"/>
      <c r="B318" s="60"/>
      <c r="C318" s="60"/>
      <c r="D318" s="60"/>
      <c r="E318" s="60"/>
      <c r="F318" s="60"/>
    </row>
    <row r="319" spans="1:6" ht="18.75">
      <c r="A319" s="60"/>
      <c r="B319" s="60"/>
      <c r="C319" s="60"/>
      <c r="D319" s="60"/>
      <c r="E319" s="60"/>
      <c r="F319" s="60"/>
    </row>
    <row r="320" spans="1:6" ht="18.75">
      <c r="A320" s="60"/>
      <c r="B320" s="60"/>
      <c r="C320" s="60"/>
      <c r="D320" s="60"/>
      <c r="E320" s="60"/>
      <c r="F320" s="60"/>
    </row>
    <row r="321" spans="1:6" ht="18.75">
      <c r="A321" s="60"/>
      <c r="B321" s="60"/>
      <c r="C321" s="60"/>
      <c r="D321" s="60"/>
      <c r="E321" s="60"/>
      <c r="F321" s="60"/>
    </row>
    <row r="322" spans="1:6" ht="18.75">
      <c r="A322" s="60"/>
      <c r="B322" s="60"/>
      <c r="C322" s="60"/>
      <c r="D322" s="60"/>
      <c r="E322" s="60"/>
      <c r="F322" s="60"/>
    </row>
    <row r="323" spans="1:6" ht="18.75">
      <c r="A323" s="60"/>
      <c r="B323" s="60"/>
      <c r="C323" s="60"/>
      <c r="D323" s="60"/>
      <c r="E323" s="60"/>
      <c r="F323" s="60"/>
    </row>
    <row r="324" spans="1:6" ht="18.75">
      <c r="A324" s="60"/>
      <c r="B324" s="60"/>
      <c r="C324" s="60"/>
      <c r="D324" s="60"/>
      <c r="E324" s="60"/>
      <c r="F324" s="60"/>
    </row>
    <row r="325" spans="1:6" ht="18.75">
      <c r="A325" s="60"/>
      <c r="B325" s="60"/>
      <c r="C325" s="60"/>
      <c r="D325" s="60"/>
      <c r="E325" s="60"/>
      <c r="F325" s="60"/>
    </row>
    <row r="326" spans="1:6" ht="18.75">
      <c r="A326" s="60"/>
      <c r="B326" s="60"/>
      <c r="C326" s="60"/>
      <c r="D326" s="60"/>
      <c r="E326" s="60"/>
      <c r="F326" s="60"/>
    </row>
    <row r="327" spans="1:6" ht="18.75">
      <c r="A327" s="60"/>
      <c r="B327" s="60"/>
      <c r="C327" s="60"/>
      <c r="D327" s="60"/>
      <c r="E327" s="60"/>
      <c r="F327" s="60"/>
    </row>
    <row r="328" spans="1:6" ht="18.75">
      <c r="A328" s="60"/>
      <c r="B328" s="60"/>
      <c r="C328" s="60"/>
      <c r="D328" s="60"/>
      <c r="E328" s="60"/>
      <c r="F328" s="60"/>
    </row>
    <row r="329" spans="1:6" ht="18.75">
      <c r="A329" s="60"/>
      <c r="B329" s="60"/>
      <c r="C329" s="60"/>
      <c r="D329" s="60"/>
      <c r="E329" s="60"/>
      <c r="F329" s="60"/>
    </row>
    <row r="330" spans="1:6" ht="18.75">
      <c r="A330" s="60"/>
      <c r="B330" s="60"/>
      <c r="C330" s="60"/>
      <c r="D330" s="60"/>
      <c r="E330" s="60"/>
      <c r="F330" s="60"/>
    </row>
    <row r="331" spans="1:6" ht="18.75">
      <c r="A331" s="60"/>
      <c r="B331" s="60"/>
      <c r="C331" s="60"/>
      <c r="D331" s="60"/>
      <c r="E331" s="60"/>
      <c r="F331" s="60"/>
    </row>
    <row r="332" spans="1:6" ht="18.75">
      <c r="A332" s="60"/>
      <c r="B332" s="60"/>
      <c r="C332" s="60"/>
      <c r="D332" s="60"/>
      <c r="E332" s="60"/>
      <c r="F332" s="60"/>
    </row>
    <row r="333" spans="1:6" ht="18.75">
      <c r="A333" s="60"/>
      <c r="B333" s="60"/>
      <c r="C333" s="60"/>
      <c r="D333" s="60"/>
      <c r="E333" s="60"/>
      <c r="F333" s="60"/>
    </row>
    <row r="334" spans="1:6" ht="18.75">
      <c r="A334" s="60"/>
      <c r="B334" s="60"/>
      <c r="C334" s="60"/>
      <c r="D334" s="60"/>
      <c r="E334" s="60"/>
      <c r="F334" s="60"/>
    </row>
    <row r="335" spans="1:6" ht="18.75">
      <c r="A335" s="60"/>
      <c r="B335" s="60"/>
      <c r="C335" s="60"/>
      <c r="D335" s="60"/>
      <c r="E335" s="60"/>
      <c r="F335" s="60"/>
    </row>
    <row r="336" spans="1:6" ht="18.75">
      <c r="A336" s="60"/>
      <c r="B336" s="60"/>
      <c r="C336" s="60"/>
      <c r="D336" s="60"/>
      <c r="E336" s="60"/>
      <c r="F336" s="60"/>
    </row>
    <row r="337" spans="1:6" ht="18.75">
      <c r="A337" s="60"/>
      <c r="B337" s="60"/>
      <c r="C337" s="60"/>
      <c r="D337" s="60"/>
      <c r="E337" s="60"/>
      <c r="F337" s="60"/>
    </row>
    <row r="338" spans="1:6" ht="18.75">
      <c r="A338" s="60"/>
      <c r="B338" s="60"/>
      <c r="C338" s="60"/>
      <c r="D338" s="60"/>
      <c r="E338" s="60"/>
      <c r="F338" s="60"/>
    </row>
    <row r="339" spans="1:6" ht="18.75">
      <c r="A339" s="60"/>
      <c r="B339" s="60"/>
      <c r="C339" s="60"/>
      <c r="D339" s="60"/>
      <c r="E339" s="60"/>
      <c r="F339" s="60"/>
    </row>
    <row r="340" spans="1:6" ht="18.75">
      <c r="A340" s="60"/>
      <c r="B340" s="60"/>
      <c r="C340" s="60"/>
      <c r="D340" s="60"/>
      <c r="E340" s="60"/>
      <c r="F340" s="60"/>
    </row>
    <row r="341" spans="1:6" ht="18.75">
      <c r="A341" s="60"/>
      <c r="B341" s="60"/>
      <c r="C341" s="60"/>
      <c r="D341" s="60"/>
      <c r="E341" s="60"/>
      <c r="F341" s="60"/>
    </row>
    <row r="342" spans="1:6" ht="18.75">
      <c r="A342" s="60"/>
      <c r="B342" s="60"/>
      <c r="C342" s="60"/>
      <c r="D342" s="60"/>
      <c r="E342" s="60"/>
      <c r="F342" s="60"/>
    </row>
    <row r="343" spans="1:6" ht="18.75">
      <c r="A343" s="60"/>
      <c r="B343" s="60"/>
      <c r="C343" s="60"/>
      <c r="D343" s="60"/>
      <c r="E343" s="60"/>
      <c r="F343" s="60"/>
    </row>
    <row r="344" spans="1:6" ht="18.75">
      <c r="A344" s="60"/>
      <c r="B344" s="60"/>
      <c r="C344" s="60"/>
      <c r="D344" s="60"/>
      <c r="E344" s="60"/>
      <c r="F344" s="60"/>
    </row>
    <row r="345" spans="1:6" ht="18.75">
      <c r="A345" s="60"/>
      <c r="B345" s="60"/>
      <c r="C345" s="60"/>
      <c r="D345" s="60"/>
      <c r="E345" s="60"/>
      <c r="F345" s="60"/>
    </row>
    <row r="346" spans="1:6" ht="18.75">
      <c r="A346" s="60"/>
      <c r="B346" s="60"/>
      <c r="C346" s="60"/>
      <c r="D346" s="60"/>
      <c r="E346" s="60"/>
      <c r="F346" s="60"/>
    </row>
    <row r="347" spans="1:6" ht="18.75">
      <c r="A347" s="60"/>
      <c r="B347" s="60"/>
      <c r="C347" s="60"/>
      <c r="D347" s="60"/>
      <c r="E347" s="60"/>
      <c r="F347" s="60"/>
    </row>
    <row r="348" spans="1:6" ht="18.75">
      <c r="A348" s="60"/>
      <c r="B348" s="60"/>
      <c r="C348" s="60"/>
      <c r="D348" s="60"/>
      <c r="E348" s="60"/>
      <c r="F348" s="60"/>
    </row>
    <row r="349" spans="1:6" ht="18.75">
      <c r="A349" s="60"/>
      <c r="B349" s="60"/>
      <c r="C349" s="60"/>
      <c r="D349" s="60"/>
      <c r="E349" s="60"/>
      <c r="F349" s="60"/>
    </row>
    <row r="350" spans="1:6" ht="18.75">
      <c r="A350" s="60"/>
      <c r="B350" s="60"/>
      <c r="C350" s="60"/>
      <c r="D350" s="60"/>
      <c r="E350" s="60"/>
      <c r="F350" s="60"/>
    </row>
    <row r="351" spans="1:6" ht="18.75">
      <c r="A351" s="60"/>
      <c r="B351" s="60"/>
      <c r="C351" s="60"/>
      <c r="D351" s="60"/>
      <c r="E351" s="60"/>
      <c r="F351" s="60"/>
    </row>
    <row r="352" spans="1:6" ht="18.75">
      <c r="A352" s="60"/>
      <c r="B352" s="60"/>
      <c r="C352" s="60"/>
      <c r="D352" s="60"/>
      <c r="E352" s="60"/>
      <c r="F352" s="60"/>
    </row>
    <row r="353" spans="1:6" ht="18.75">
      <c r="A353" s="60"/>
      <c r="B353" s="60"/>
      <c r="C353" s="60"/>
      <c r="D353" s="60"/>
      <c r="E353" s="60"/>
      <c r="F353" s="60"/>
    </row>
    <row r="354" spans="1:6" ht="18.75">
      <c r="A354" s="60"/>
      <c r="B354" s="60"/>
      <c r="C354" s="60"/>
      <c r="D354" s="60"/>
      <c r="E354" s="60"/>
      <c r="F354" s="60"/>
    </row>
    <row r="355" spans="1:6" ht="18.75">
      <c r="A355" s="60"/>
      <c r="B355" s="60"/>
      <c r="C355" s="60"/>
      <c r="D355" s="60"/>
      <c r="E355" s="60"/>
      <c r="F355" s="60"/>
    </row>
    <row r="356" spans="1:6" ht="18.75">
      <c r="A356" s="60"/>
      <c r="B356" s="60"/>
      <c r="C356" s="60"/>
      <c r="D356" s="60"/>
      <c r="E356" s="60"/>
      <c r="F356" s="60"/>
    </row>
    <row r="357" spans="1:6" ht="18.75">
      <c r="A357" s="60"/>
      <c r="B357" s="60"/>
      <c r="C357" s="60"/>
      <c r="D357" s="60"/>
      <c r="E357" s="60"/>
      <c r="F357" s="60"/>
    </row>
    <row r="358" spans="1:6" ht="18.75">
      <c r="A358" s="60"/>
      <c r="B358" s="60"/>
      <c r="C358" s="60"/>
      <c r="D358" s="60"/>
      <c r="E358" s="60"/>
      <c r="F358" s="60"/>
    </row>
    <row r="359" spans="1:6" ht="18.75">
      <c r="A359" s="60"/>
      <c r="B359" s="60"/>
      <c r="C359" s="60"/>
      <c r="D359" s="60"/>
      <c r="E359" s="60"/>
      <c r="F359" s="60"/>
    </row>
    <row r="360" spans="1:6" ht="18.75">
      <c r="A360" s="60"/>
      <c r="B360" s="60"/>
      <c r="C360" s="60"/>
      <c r="D360" s="60"/>
      <c r="E360" s="60"/>
      <c r="F360" s="60"/>
    </row>
    <row r="361" spans="1:6" ht="18.75">
      <c r="A361" s="60"/>
      <c r="B361" s="60"/>
      <c r="C361" s="60"/>
      <c r="D361" s="60"/>
      <c r="E361" s="60"/>
      <c r="F361" s="60"/>
    </row>
    <row r="362" spans="1:6" ht="18.75">
      <c r="A362" s="60"/>
      <c r="B362" s="60"/>
      <c r="C362" s="60"/>
      <c r="D362" s="60"/>
      <c r="E362" s="60"/>
      <c r="F362" s="60"/>
    </row>
    <row r="363" spans="1:6" ht="18.75">
      <c r="A363" s="60"/>
      <c r="B363" s="60"/>
      <c r="C363" s="60"/>
      <c r="D363" s="60"/>
      <c r="E363" s="60"/>
      <c r="F363" s="60"/>
    </row>
    <row r="364" spans="1:6" ht="18.75">
      <c r="A364" s="60"/>
      <c r="B364" s="60"/>
      <c r="C364" s="60"/>
      <c r="D364" s="60"/>
      <c r="E364" s="60"/>
      <c r="F364" s="60"/>
    </row>
    <row r="365" spans="1:6" ht="18.75">
      <c r="A365" s="60"/>
      <c r="B365" s="60"/>
      <c r="C365" s="60"/>
      <c r="D365" s="60"/>
      <c r="E365" s="60"/>
      <c r="F365" s="60"/>
    </row>
    <row r="366" spans="1:6" ht="18.75">
      <c r="A366" s="60"/>
      <c r="B366" s="60"/>
      <c r="C366" s="60"/>
      <c r="D366" s="60"/>
      <c r="E366" s="60"/>
      <c r="F366" s="60"/>
    </row>
    <row r="367" spans="1:6" ht="18.75">
      <c r="A367" s="60"/>
      <c r="B367" s="60"/>
      <c r="C367" s="60"/>
      <c r="D367" s="60"/>
      <c r="E367" s="60"/>
      <c r="F367" s="60"/>
    </row>
    <row r="368" spans="1:6" ht="18.75">
      <c r="A368" s="60"/>
      <c r="B368" s="60"/>
      <c r="C368" s="60"/>
      <c r="D368" s="60"/>
      <c r="E368" s="60"/>
      <c r="F368" s="60"/>
    </row>
    <row r="369" spans="1:6" ht="18.75">
      <c r="A369" s="60"/>
      <c r="B369" s="60"/>
      <c r="C369" s="60"/>
      <c r="D369" s="60"/>
      <c r="E369" s="60"/>
      <c r="F369" s="60"/>
    </row>
    <row r="370" spans="1:6" ht="18.75">
      <c r="A370" s="60"/>
      <c r="B370" s="60"/>
      <c r="C370" s="60"/>
      <c r="D370" s="60"/>
      <c r="E370" s="60"/>
      <c r="F370" s="60"/>
    </row>
    <row r="371" spans="1:6" ht="18.75">
      <c r="A371" s="60"/>
      <c r="B371" s="60"/>
      <c r="C371" s="60"/>
      <c r="D371" s="60"/>
      <c r="E371" s="60"/>
      <c r="F371" s="60"/>
    </row>
    <row r="372" spans="1:6" ht="18.75">
      <c r="A372" s="60"/>
      <c r="B372" s="60"/>
      <c r="C372" s="60"/>
      <c r="D372" s="60"/>
      <c r="E372" s="60"/>
      <c r="F372" s="60"/>
    </row>
    <row r="373" spans="1:6" ht="18.75">
      <c r="A373" s="60"/>
      <c r="B373" s="60"/>
      <c r="C373" s="60"/>
      <c r="D373" s="60"/>
      <c r="E373" s="60"/>
      <c r="F373" s="60"/>
    </row>
    <row r="374" spans="1:6" ht="18.75">
      <c r="A374" s="60"/>
      <c r="B374" s="60"/>
      <c r="C374" s="60"/>
      <c r="D374" s="60"/>
      <c r="E374" s="60"/>
      <c r="F374" s="60"/>
    </row>
    <row r="375" spans="1:6" ht="18.75">
      <c r="A375" s="60"/>
      <c r="B375" s="60"/>
      <c r="C375" s="60"/>
      <c r="D375" s="60"/>
      <c r="E375" s="60"/>
      <c r="F375" s="60"/>
    </row>
    <row r="376" spans="1:6" ht="18.75">
      <c r="A376" s="60"/>
      <c r="B376" s="60"/>
      <c r="C376" s="60"/>
      <c r="D376" s="60"/>
      <c r="E376" s="60"/>
      <c r="F376" s="60"/>
    </row>
    <row r="377" spans="1:6" ht="18.75">
      <c r="A377" s="60"/>
      <c r="B377" s="60"/>
      <c r="C377" s="60"/>
      <c r="D377" s="60"/>
      <c r="E377" s="60"/>
      <c r="F377" s="60"/>
    </row>
    <row r="378" spans="1:6" ht="18.75">
      <c r="A378" s="60"/>
      <c r="B378" s="60"/>
      <c r="C378" s="60"/>
      <c r="D378" s="60"/>
      <c r="E378" s="60"/>
      <c r="F378" s="60"/>
    </row>
    <row r="379" spans="1:6" ht="18.75">
      <c r="A379" s="60"/>
      <c r="B379" s="60"/>
      <c r="C379" s="60"/>
      <c r="D379" s="60"/>
      <c r="E379" s="60"/>
      <c r="F379" s="60"/>
    </row>
    <row r="380" spans="1:6" ht="18.75">
      <c r="A380" s="60"/>
      <c r="B380" s="60"/>
      <c r="C380" s="60"/>
      <c r="D380" s="60"/>
      <c r="E380" s="60"/>
      <c r="F380" s="60"/>
    </row>
    <row r="381" spans="1:6" ht="18.75">
      <c r="A381" s="60"/>
      <c r="B381" s="60"/>
      <c r="C381" s="60"/>
      <c r="D381" s="60"/>
      <c r="E381" s="60"/>
      <c r="F381" s="60"/>
    </row>
    <row r="382" spans="1:6" ht="18.75">
      <c r="A382" s="60"/>
      <c r="B382" s="60"/>
      <c r="C382" s="60"/>
      <c r="D382" s="60"/>
      <c r="E382" s="60"/>
      <c r="F382" s="60"/>
    </row>
    <row r="383" spans="1:6" ht="18.75">
      <c r="A383" s="60"/>
      <c r="B383" s="60"/>
      <c r="C383" s="60"/>
      <c r="D383" s="60"/>
      <c r="E383" s="60"/>
      <c r="F383" s="60"/>
    </row>
    <row r="384" spans="1:6" ht="18.75">
      <c r="A384" s="60"/>
      <c r="B384" s="60"/>
      <c r="C384" s="60"/>
      <c r="D384" s="60"/>
      <c r="E384" s="60"/>
      <c r="F384" s="60"/>
    </row>
    <row r="385" spans="1:6" ht="18.75">
      <c r="A385" s="60"/>
      <c r="B385" s="60"/>
      <c r="C385" s="60"/>
      <c r="D385" s="60"/>
      <c r="E385" s="60"/>
      <c r="F385" s="60"/>
    </row>
    <row r="386" spans="1:6" ht="18.75">
      <c r="A386" s="60"/>
      <c r="B386" s="60"/>
      <c r="C386" s="60"/>
      <c r="D386" s="60"/>
      <c r="E386" s="60"/>
      <c r="F386" s="60"/>
    </row>
    <row r="387" spans="1:6" ht="18.75">
      <c r="A387" s="60"/>
      <c r="B387" s="60"/>
      <c r="C387" s="60"/>
      <c r="D387" s="60"/>
      <c r="E387" s="60"/>
      <c r="F387" s="60"/>
    </row>
    <row r="388" spans="1:6" ht="18.75">
      <c r="A388" s="60"/>
      <c r="B388" s="60"/>
      <c r="C388" s="60"/>
      <c r="D388" s="60"/>
      <c r="E388" s="60"/>
      <c r="F388" s="60"/>
    </row>
    <row r="389" spans="1:6" ht="18.75">
      <c r="A389" s="60"/>
      <c r="B389" s="60"/>
      <c r="C389" s="60"/>
      <c r="D389" s="60"/>
      <c r="E389" s="60"/>
      <c r="F389" s="60"/>
    </row>
    <row r="390" spans="1:6" ht="18.75">
      <c r="A390" s="60"/>
      <c r="B390" s="60"/>
      <c r="C390" s="60"/>
      <c r="D390" s="60"/>
      <c r="E390" s="60"/>
      <c r="F390" s="60"/>
    </row>
    <row r="391" spans="1:6" ht="18.75">
      <c r="A391" s="60"/>
      <c r="B391" s="60"/>
      <c r="C391" s="60"/>
      <c r="D391" s="60"/>
      <c r="E391" s="60"/>
      <c r="F391" s="60"/>
    </row>
    <row r="392" spans="1:6" ht="18.75">
      <c r="A392" s="60"/>
      <c r="B392" s="60"/>
      <c r="C392" s="60"/>
      <c r="D392" s="60"/>
      <c r="E392" s="60"/>
      <c r="F392" s="60"/>
    </row>
    <row r="393" spans="1:6" ht="18.75">
      <c r="A393" s="60"/>
      <c r="B393" s="60"/>
      <c r="C393" s="60"/>
      <c r="D393" s="60"/>
      <c r="E393" s="60"/>
      <c r="F393" s="60"/>
    </row>
    <row r="394" spans="1:6" ht="18.75">
      <c r="A394" s="60"/>
      <c r="B394" s="60"/>
      <c r="C394" s="60"/>
      <c r="D394" s="60"/>
      <c r="E394" s="60"/>
      <c r="F394" s="60"/>
    </row>
    <row r="395" spans="1:6" ht="18.75">
      <c r="A395" s="60"/>
      <c r="B395" s="60"/>
      <c r="C395" s="60"/>
      <c r="D395" s="60"/>
      <c r="E395" s="60"/>
      <c r="F395" s="60"/>
    </row>
    <row r="396" spans="1:6" ht="18.75">
      <c r="A396" s="60"/>
      <c r="B396" s="60"/>
      <c r="C396" s="60"/>
      <c r="D396" s="60"/>
      <c r="E396" s="60"/>
      <c r="F396" s="60"/>
    </row>
    <row r="397" spans="1:6" ht="18.75">
      <c r="A397" s="60"/>
      <c r="B397" s="60"/>
      <c r="C397" s="60"/>
      <c r="D397" s="60"/>
      <c r="E397" s="60"/>
      <c r="F397" s="60"/>
    </row>
    <row r="398" spans="1:6" ht="18.75">
      <c r="A398" s="60"/>
      <c r="B398" s="60"/>
      <c r="C398" s="60"/>
      <c r="D398" s="60"/>
      <c r="E398" s="60"/>
      <c r="F398" s="60"/>
    </row>
    <row r="399" spans="1:6" ht="18.75">
      <c r="A399" s="60"/>
      <c r="B399" s="60"/>
      <c r="C399" s="60"/>
      <c r="D399" s="60"/>
      <c r="E399" s="60"/>
      <c r="F399" s="60"/>
    </row>
    <row r="400" spans="1:6" ht="18.75">
      <c r="A400" s="60"/>
      <c r="B400" s="60"/>
      <c r="C400" s="60"/>
      <c r="D400" s="60"/>
      <c r="E400" s="60"/>
      <c r="F400" s="60"/>
    </row>
    <row r="401" spans="1:6" ht="18.75">
      <c r="A401" s="60"/>
      <c r="B401" s="60"/>
      <c r="C401" s="60"/>
      <c r="D401" s="60"/>
      <c r="E401" s="60"/>
      <c r="F401" s="60"/>
    </row>
    <row r="402" spans="1:6" ht="18.75">
      <c r="A402" s="60"/>
      <c r="B402" s="60"/>
      <c r="C402" s="60"/>
      <c r="D402" s="60"/>
      <c r="E402" s="60"/>
      <c r="F402" s="60"/>
    </row>
    <row r="403" spans="1:6" ht="18.75">
      <c r="A403" s="60"/>
      <c r="B403" s="60"/>
      <c r="C403" s="60"/>
      <c r="D403" s="60"/>
      <c r="E403" s="60"/>
      <c r="F403" s="60"/>
    </row>
    <row r="404" spans="1:6" ht="18.75">
      <c r="A404" s="60"/>
      <c r="B404" s="60"/>
      <c r="C404" s="60"/>
      <c r="D404" s="60"/>
      <c r="E404" s="60"/>
      <c r="F404" s="60"/>
    </row>
    <row r="405" spans="1:6" ht="18.75">
      <c r="A405" s="60"/>
      <c r="B405" s="60"/>
      <c r="C405" s="60"/>
      <c r="D405" s="60"/>
      <c r="E405" s="60"/>
      <c r="F405" s="60"/>
    </row>
    <row r="406" spans="1:6" ht="18.75">
      <c r="A406" s="60"/>
      <c r="B406" s="60"/>
      <c r="C406" s="60"/>
      <c r="D406" s="60"/>
      <c r="E406" s="60"/>
      <c r="F406" s="60"/>
    </row>
    <row r="407" spans="1:6" ht="18.75">
      <c r="A407" s="60"/>
      <c r="B407" s="60"/>
      <c r="C407" s="60"/>
      <c r="D407" s="60"/>
      <c r="E407" s="60"/>
      <c r="F407" s="60"/>
    </row>
    <row r="408" spans="1:6" ht="18.75">
      <c r="A408" s="60"/>
      <c r="B408" s="60"/>
      <c r="C408" s="60"/>
      <c r="D408" s="60"/>
      <c r="E408" s="60"/>
      <c r="F408" s="60"/>
    </row>
    <row r="409" spans="1:6" ht="18.75">
      <c r="A409" s="60"/>
      <c r="B409" s="60"/>
      <c r="C409" s="60"/>
      <c r="D409" s="60"/>
      <c r="E409" s="60"/>
      <c r="F409" s="60"/>
    </row>
    <row r="410" spans="1:6" ht="18.75">
      <c r="A410" s="60"/>
      <c r="B410" s="60"/>
      <c r="C410" s="60"/>
      <c r="D410" s="60"/>
      <c r="E410" s="60"/>
      <c r="F410" s="60"/>
    </row>
    <row r="411" spans="1:6" ht="18.75">
      <c r="A411" s="60"/>
      <c r="B411" s="60"/>
      <c r="C411" s="60"/>
      <c r="D411" s="60"/>
      <c r="E411" s="60"/>
      <c r="F411" s="60"/>
    </row>
    <row r="412" spans="1:6" ht="18.75">
      <c r="A412" s="60"/>
      <c r="B412" s="60"/>
      <c r="C412" s="60"/>
      <c r="D412" s="60"/>
      <c r="E412" s="60"/>
      <c r="F412" s="60"/>
    </row>
    <row r="413" spans="1:6" ht="18.75">
      <c r="A413" s="60"/>
      <c r="B413" s="60"/>
      <c r="C413" s="60"/>
      <c r="D413" s="60"/>
      <c r="E413" s="60"/>
      <c r="F413" s="60"/>
    </row>
    <row r="414" spans="1:6" ht="18.75">
      <c r="A414" s="60"/>
      <c r="B414" s="60"/>
      <c r="C414" s="60"/>
      <c r="D414" s="60"/>
      <c r="E414" s="60"/>
      <c r="F414" s="60"/>
    </row>
    <row r="415" spans="1:6" ht="18.75">
      <c r="A415" s="60"/>
      <c r="B415" s="60"/>
      <c r="C415" s="60"/>
      <c r="D415" s="60"/>
      <c r="E415" s="60"/>
      <c r="F415" s="60"/>
    </row>
    <row r="416" spans="1:6" ht="18.75">
      <c r="A416" s="60"/>
      <c r="B416" s="60"/>
      <c r="C416" s="60"/>
      <c r="D416" s="60"/>
      <c r="E416" s="60"/>
      <c r="F416" s="60"/>
    </row>
    <row r="417" spans="1:6" ht="18.75">
      <c r="A417" s="60"/>
      <c r="B417" s="60"/>
      <c r="C417" s="60"/>
      <c r="D417" s="60"/>
      <c r="E417" s="60"/>
      <c r="F417" s="60"/>
    </row>
    <row r="418" spans="1:6" ht="18.75">
      <c r="A418" s="60"/>
      <c r="B418" s="60"/>
      <c r="C418" s="60"/>
      <c r="D418" s="60"/>
      <c r="E418" s="60"/>
      <c r="F418" s="60"/>
    </row>
    <row r="419" spans="1:6" ht="18.75">
      <c r="A419" s="60"/>
      <c r="B419" s="60"/>
      <c r="C419" s="60"/>
      <c r="D419" s="60"/>
      <c r="E419" s="60"/>
      <c r="F419" s="60"/>
    </row>
    <row r="420" spans="1:6" ht="18.75">
      <c r="A420" s="60"/>
      <c r="B420" s="60"/>
      <c r="C420" s="60"/>
      <c r="D420" s="60"/>
      <c r="E420" s="60"/>
      <c r="F420" s="60"/>
    </row>
    <row r="421" spans="1:6" ht="18.75">
      <c r="A421" s="60"/>
      <c r="B421" s="60"/>
      <c r="C421" s="60"/>
      <c r="D421" s="60"/>
      <c r="E421" s="60"/>
      <c r="F421" s="60"/>
    </row>
    <row r="422" spans="1:6" ht="18.75">
      <c r="A422" s="60"/>
      <c r="B422" s="60"/>
      <c r="C422" s="60"/>
      <c r="D422" s="60"/>
      <c r="E422" s="60"/>
      <c r="F422" s="60"/>
    </row>
    <row r="423" spans="1:6" ht="18.75">
      <c r="A423" s="60"/>
      <c r="B423" s="60"/>
      <c r="C423" s="60"/>
      <c r="D423" s="60"/>
      <c r="E423" s="60"/>
      <c r="F423" s="60"/>
    </row>
    <row r="424" spans="1:6" ht="18.75">
      <c r="A424" s="60"/>
      <c r="B424" s="60"/>
      <c r="C424" s="60"/>
      <c r="D424" s="60"/>
      <c r="E424" s="60"/>
      <c r="F424" s="60"/>
    </row>
    <row r="425" spans="1:6" ht="18.75">
      <c r="A425" s="60"/>
      <c r="B425" s="60"/>
      <c r="C425" s="60"/>
      <c r="D425" s="60"/>
      <c r="E425" s="60"/>
      <c r="F425" s="60"/>
    </row>
    <row r="426" spans="1:6" ht="18.75">
      <c r="A426" s="60"/>
      <c r="B426" s="60"/>
      <c r="C426" s="60"/>
      <c r="D426" s="60"/>
      <c r="E426" s="60"/>
      <c r="F426" s="60"/>
    </row>
    <row r="427" spans="1:6" ht="18.75">
      <c r="A427" s="60"/>
      <c r="B427" s="60"/>
      <c r="C427" s="60"/>
      <c r="D427" s="60"/>
      <c r="E427" s="60"/>
      <c r="F427" s="60"/>
    </row>
    <row r="428" spans="1:6" ht="18.75">
      <c r="A428" s="60"/>
      <c r="B428" s="60"/>
      <c r="C428" s="60"/>
      <c r="D428" s="60"/>
      <c r="E428" s="60"/>
      <c r="F428" s="60"/>
    </row>
    <row r="429" spans="1:6" ht="18.75">
      <c r="A429" s="60"/>
      <c r="B429" s="60"/>
      <c r="C429" s="60"/>
      <c r="D429" s="60"/>
      <c r="E429" s="60"/>
      <c r="F429" s="60"/>
    </row>
    <row r="430" spans="1:6" ht="18.75">
      <c r="A430" s="60"/>
      <c r="B430" s="60"/>
      <c r="C430" s="60"/>
      <c r="D430" s="60"/>
      <c r="E430" s="60"/>
      <c r="F430" s="60"/>
    </row>
    <row r="431" spans="1:6" ht="18.75">
      <c r="A431" s="60"/>
      <c r="B431" s="60"/>
      <c r="C431" s="60"/>
      <c r="D431" s="60"/>
      <c r="E431" s="60"/>
      <c r="F431" s="60"/>
    </row>
    <row r="432" spans="1:6" ht="18.75">
      <c r="A432" s="60"/>
      <c r="B432" s="60"/>
      <c r="C432" s="60"/>
      <c r="D432" s="60"/>
      <c r="E432" s="60"/>
      <c r="F432" s="60"/>
    </row>
    <row r="433" spans="1:6" ht="18.75">
      <c r="A433" s="60"/>
      <c r="B433" s="60"/>
      <c r="C433" s="60"/>
      <c r="D433" s="60"/>
      <c r="E433" s="60"/>
      <c r="F433" s="60"/>
    </row>
    <row r="434" spans="1:6" ht="18.75">
      <c r="A434" s="60"/>
      <c r="B434" s="60"/>
      <c r="C434" s="60"/>
      <c r="D434" s="60"/>
      <c r="E434" s="60"/>
      <c r="F434" s="60"/>
    </row>
    <row r="435" spans="1:6" ht="18.75">
      <c r="A435" s="60"/>
      <c r="B435" s="60"/>
      <c r="C435" s="60"/>
      <c r="D435" s="60"/>
      <c r="E435" s="60"/>
      <c r="F435" s="60"/>
    </row>
    <row r="436" spans="1:6" ht="18.75">
      <c r="A436" s="60"/>
      <c r="B436" s="60"/>
      <c r="C436" s="60"/>
      <c r="D436" s="60"/>
      <c r="E436" s="60"/>
      <c r="F436" s="60"/>
    </row>
    <row r="437" spans="1:6" ht="18.75">
      <c r="A437" s="60"/>
      <c r="B437" s="60"/>
      <c r="C437" s="60"/>
      <c r="D437" s="60"/>
      <c r="E437" s="60"/>
      <c r="F437" s="60"/>
    </row>
    <row r="438" spans="1:6" ht="18.75">
      <c r="A438" s="60"/>
      <c r="B438" s="60"/>
      <c r="C438" s="60"/>
      <c r="D438" s="60"/>
      <c r="E438" s="60"/>
      <c r="F438" s="60"/>
    </row>
    <row r="439" spans="1:6" ht="18.75">
      <c r="A439" s="60"/>
      <c r="B439" s="60"/>
      <c r="C439" s="60"/>
      <c r="D439" s="60"/>
      <c r="E439" s="60"/>
      <c r="F439" s="60"/>
    </row>
    <row r="440" spans="1:6" ht="18.75">
      <c r="A440" s="60"/>
      <c r="B440" s="60"/>
      <c r="C440" s="60"/>
      <c r="D440" s="60"/>
      <c r="E440" s="60"/>
      <c r="F440" s="60"/>
    </row>
    <row r="441" spans="1:6" ht="18.75">
      <c r="A441" s="60"/>
      <c r="B441" s="60"/>
      <c r="C441" s="60"/>
      <c r="D441" s="60"/>
      <c r="E441" s="60"/>
      <c r="F441" s="60"/>
    </row>
    <row r="442" spans="1:6" ht="18.75">
      <c r="A442" s="60"/>
      <c r="B442" s="60"/>
      <c r="C442" s="60"/>
      <c r="D442" s="60"/>
      <c r="E442" s="60"/>
      <c r="F442" s="60"/>
    </row>
    <row r="443" spans="1:6" ht="18.75">
      <c r="A443" s="60"/>
      <c r="B443" s="60"/>
      <c r="C443" s="60"/>
      <c r="D443" s="60"/>
      <c r="E443" s="60"/>
      <c r="F443" s="60"/>
    </row>
    <row r="444" spans="1:6" ht="18.75">
      <c r="A444" s="60"/>
      <c r="B444" s="60"/>
      <c r="C444" s="60"/>
      <c r="D444" s="60"/>
      <c r="E444" s="60"/>
      <c r="F444" s="60"/>
    </row>
    <row r="445" spans="1:6" ht="18.75">
      <c r="A445" s="60"/>
      <c r="B445" s="60"/>
      <c r="C445" s="60"/>
      <c r="D445" s="60"/>
      <c r="E445" s="60"/>
      <c r="F445" s="60"/>
    </row>
    <row r="446" spans="1:6" ht="18.75">
      <c r="A446" s="60"/>
      <c r="B446" s="60"/>
      <c r="C446" s="60"/>
      <c r="D446" s="60"/>
      <c r="E446" s="60"/>
      <c r="F446" s="60"/>
    </row>
    <row r="447" spans="1:6" ht="18.75">
      <c r="A447" s="60"/>
      <c r="B447" s="60"/>
      <c r="C447" s="60"/>
      <c r="D447" s="60"/>
      <c r="E447" s="60"/>
      <c r="F447" s="60"/>
    </row>
    <row r="448" spans="1:6" ht="18.75">
      <c r="A448" s="60"/>
      <c r="B448" s="60"/>
      <c r="C448" s="60"/>
      <c r="D448" s="60"/>
      <c r="E448" s="60"/>
      <c r="F448" s="60"/>
    </row>
    <row r="449" spans="1:6" ht="18.75">
      <c r="A449" s="60"/>
      <c r="B449" s="60"/>
      <c r="C449" s="60"/>
      <c r="D449" s="60"/>
      <c r="E449" s="60"/>
      <c r="F449" s="60"/>
    </row>
    <row r="450" spans="1:6" ht="18.75">
      <c r="A450" s="60"/>
      <c r="B450" s="60"/>
      <c r="C450" s="60"/>
      <c r="D450" s="60"/>
      <c r="E450" s="60"/>
      <c r="F450" s="60"/>
    </row>
    <row r="451" spans="1:6" ht="18.75">
      <c r="A451" s="60"/>
      <c r="B451" s="60"/>
      <c r="C451" s="60"/>
      <c r="D451" s="60"/>
      <c r="E451" s="60"/>
      <c r="F451" s="60"/>
    </row>
    <row r="452" spans="1:6" ht="18.75">
      <c r="A452" s="60"/>
      <c r="B452" s="60"/>
      <c r="C452" s="60"/>
      <c r="D452" s="60"/>
      <c r="E452" s="60"/>
      <c r="F452" s="60"/>
    </row>
    <row r="453" spans="1:6" ht="18.75">
      <c r="A453" s="60"/>
      <c r="B453" s="60"/>
      <c r="C453" s="60"/>
      <c r="D453" s="60"/>
      <c r="E453" s="60"/>
      <c r="F453" s="60"/>
    </row>
    <row r="454" spans="1:6" ht="18.75">
      <c r="A454" s="60"/>
      <c r="B454" s="60"/>
      <c r="C454" s="60"/>
      <c r="D454" s="60"/>
      <c r="E454" s="60"/>
      <c r="F454" s="60"/>
    </row>
    <row r="455" spans="1:6" ht="18.75">
      <c r="A455" s="60"/>
      <c r="B455" s="60"/>
      <c r="C455" s="60"/>
      <c r="D455" s="60"/>
      <c r="E455" s="60"/>
      <c r="F455" s="60"/>
    </row>
    <row r="456" spans="1:6" ht="18.75">
      <c r="A456" s="60"/>
      <c r="B456" s="60"/>
      <c r="C456" s="60"/>
      <c r="D456" s="60"/>
      <c r="E456" s="60"/>
      <c r="F456" s="60"/>
    </row>
    <row r="457" spans="1:6" ht="18.75">
      <c r="A457" s="60"/>
      <c r="B457" s="60"/>
      <c r="C457" s="60"/>
      <c r="D457" s="60"/>
      <c r="E457" s="60"/>
      <c r="F457" s="60"/>
    </row>
    <row r="458" spans="1:6" ht="18.75">
      <c r="A458" s="60"/>
      <c r="B458" s="60"/>
      <c r="C458" s="60"/>
      <c r="D458" s="60"/>
      <c r="E458" s="60"/>
      <c r="F458" s="60"/>
    </row>
    <row r="459" spans="1:6" ht="18.75">
      <c r="A459" s="60"/>
      <c r="B459" s="60"/>
      <c r="C459" s="60"/>
      <c r="D459" s="60"/>
      <c r="E459" s="60"/>
      <c r="F459" s="60"/>
    </row>
    <row r="460" spans="1:6" ht="18.75">
      <c r="A460" s="60"/>
      <c r="B460" s="60"/>
      <c r="C460" s="60"/>
      <c r="D460" s="60"/>
      <c r="E460" s="60"/>
      <c r="F460" s="60"/>
    </row>
    <row r="461" spans="1:6" ht="18.75">
      <c r="A461" s="60"/>
      <c r="B461" s="60"/>
      <c r="C461" s="60"/>
      <c r="D461" s="60"/>
      <c r="E461" s="60"/>
      <c r="F461" s="60"/>
    </row>
    <row r="462" spans="1:6" ht="18.75">
      <c r="A462" s="60"/>
      <c r="B462" s="60"/>
      <c r="C462" s="60"/>
      <c r="D462" s="60"/>
      <c r="E462" s="60"/>
      <c r="F462" s="60"/>
    </row>
    <row r="463" spans="1:6" ht="18.75">
      <c r="A463" s="60"/>
      <c r="B463" s="60"/>
      <c r="C463" s="60"/>
      <c r="D463" s="60"/>
      <c r="E463" s="60"/>
      <c r="F463" s="60"/>
    </row>
    <row r="464" spans="1:6" ht="18.75">
      <c r="A464" s="60"/>
      <c r="B464" s="60"/>
      <c r="C464" s="60"/>
      <c r="D464" s="60"/>
      <c r="E464" s="60"/>
      <c r="F464" s="60"/>
    </row>
    <row r="465" spans="1:6" ht="18.75">
      <c r="A465" s="60"/>
      <c r="B465" s="60"/>
      <c r="C465" s="60"/>
      <c r="D465" s="60"/>
      <c r="E465" s="60"/>
      <c r="F465" s="60"/>
    </row>
    <row r="466" spans="1:6" ht="18.75">
      <c r="A466" s="60"/>
      <c r="B466" s="60"/>
      <c r="C466" s="60"/>
      <c r="D466" s="60"/>
      <c r="E466" s="60"/>
      <c r="F466" s="60"/>
    </row>
    <row r="467" spans="1:6" ht="18.75">
      <c r="A467" s="60"/>
      <c r="B467" s="60"/>
      <c r="C467" s="60"/>
      <c r="D467" s="60"/>
      <c r="E467" s="60"/>
      <c r="F467" s="60"/>
    </row>
    <row r="468" spans="1:6" ht="18.75">
      <c r="A468" s="60"/>
      <c r="B468" s="60"/>
      <c r="C468" s="60"/>
      <c r="D468" s="60"/>
      <c r="E468" s="60"/>
      <c r="F468" s="60"/>
    </row>
    <row r="469" spans="1:6" ht="18.75">
      <c r="A469" s="60"/>
      <c r="B469" s="60"/>
      <c r="C469" s="60"/>
      <c r="D469" s="60"/>
      <c r="E469" s="60"/>
      <c r="F469" s="60"/>
    </row>
    <row r="470" spans="1:6" ht="18.75">
      <c r="A470" s="60"/>
      <c r="B470" s="60"/>
      <c r="C470" s="60"/>
      <c r="D470" s="60"/>
      <c r="E470" s="60"/>
      <c r="F470" s="60"/>
    </row>
    <row r="471" spans="1:6" ht="18.75">
      <c r="A471" s="60"/>
      <c r="B471" s="60"/>
      <c r="C471" s="60"/>
      <c r="D471" s="60"/>
      <c r="E471" s="60"/>
      <c r="F471" s="60"/>
    </row>
    <row r="472" spans="1:6" ht="18.75">
      <c r="A472" s="60"/>
      <c r="B472" s="60"/>
      <c r="C472" s="60"/>
      <c r="D472" s="60"/>
      <c r="E472" s="60"/>
      <c r="F472" s="60"/>
    </row>
    <row r="473" spans="2:6" ht="18.75">
      <c r="B473" s="72"/>
      <c r="C473" s="72"/>
      <c r="D473" s="72"/>
      <c r="E473" s="72"/>
      <c r="F473" s="72"/>
    </row>
    <row r="474" spans="2:6" ht="18.75">
      <c r="B474" s="36"/>
      <c r="C474" s="36"/>
      <c r="D474" s="36"/>
      <c r="E474" s="36"/>
      <c r="F474" s="36"/>
    </row>
    <row r="475" spans="2:6" ht="18.75">
      <c r="B475" s="36"/>
      <c r="C475" s="36"/>
      <c r="D475" s="36"/>
      <c r="E475" s="36"/>
      <c r="F475" s="36"/>
    </row>
    <row r="476" spans="2:6" ht="18.75">
      <c r="B476" s="36"/>
      <c r="C476" s="36"/>
      <c r="D476" s="36"/>
      <c r="E476" s="36"/>
      <c r="F476" s="36"/>
    </row>
    <row r="477" spans="2:6" ht="18.75">
      <c r="B477" s="36"/>
      <c r="C477" s="36"/>
      <c r="D477" s="36"/>
      <c r="E477" s="36"/>
      <c r="F477" s="36"/>
    </row>
    <row r="478" spans="2:6" ht="18.75">
      <c r="B478" s="36"/>
      <c r="C478" s="36"/>
      <c r="D478" s="36"/>
      <c r="E478" s="36"/>
      <c r="F478" s="36"/>
    </row>
    <row r="479" spans="2:6" ht="18.75">
      <c r="B479" s="36"/>
      <c r="C479" s="36"/>
      <c r="D479" s="36"/>
      <c r="E479" s="36"/>
      <c r="F479" s="36"/>
    </row>
    <row r="480" spans="2:6" ht="18.75">
      <c r="B480" s="36"/>
      <c r="C480" s="36"/>
      <c r="D480" s="36"/>
      <c r="E480" s="36"/>
      <c r="F480" s="36"/>
    </row>
    <row r="481" spans="2:6" ht="18.75">
      <c r="B481" s="36"/>
      <c r="C481" s="36"/>
      <c r="D481" s="36"/>
      <c r="E481" s="36"/>
      <c r="F481" s="36"/>
    </row>
    <row r="482" spans="2:6" ht="18.75">
      <c r="B482" s="36"/>
      <c r="C482" s="36"/>
      <c r="D482" s="36"/>
      <c r="E482" s="36"/>
      <c r="F482" s="36"/>
    </row>
    <row r="483" spans="2:6" ht="18.75">
      <c r="B483" s="36"/>
      <c r="C483" s="36"/>
      <c r="D483" s="36"/>
      <c r="E483" s="36"/>
      <c r="F483" s="36"/>
    </row>
    <row r="484" spans="2:6" ht="18.75">
      <c r="B484" s="36"/>
      <c r="C484" s="36"/>
      <c r="D484" s="36"/>
      <c r="E484" s="36"/>
      <c r="F484" s="36"/>
    </row>
    <row r="485" spans="2:6" ht="18.75">
      <c r="B485" s="36"/>
      <c r="C485" s="36"/>
      <c r="D485" s="36"/>
      <c r="E485" s="36"/>
      <c r="F485" s="36"/>
    </row>
    <row r="486" spans="2:6" ht="18.75">
      <c r="B486" s="36"/>
      <c r="C486" s="36"/>
      <c r="D486" s="36"/>
      <c r="E486" s="36"/>
      <c r="F486" s="36"/>
    </row>
    <row r="487" spans="2:6" ht="18.75">
      <c r="B487" s="36"/>
      <c r="C487" s="36"/>
      <c r="D487" s="36"/>
      <c r="E487" s="36"/>
      <c r="F487" s="36"/>
    </row>
    <row r="488" spans="2:6" ht="18.75">
      <c r="B488" s="36"/>
      <c r="C488" s="36"/>
      <c r="D488" s="36"/>
      <c r="E488" s="36"/>
      <c r="F488" s="36"/>
    </row>
    <row r="489" spans="2:6" ht="18.75">
      <c r="B489" s="36"/>
      <c r="C489" s="36"/>
      <c r="D489" s="36"/>
      <c r="E489" s="36"/>
      <c r="F489" s="36"/>
    </row>
    <row r="490" spans="2:6" ht="18.75">
      <c r="B490" s="36"/>
      <c r="C490" s="36"/>
      <c r="D490" s="36"/>
      <c r="E490" s="36"/>
      <c r="F490" s="36"/>
    </row>
    <row r="491" spans="2:6" ht="18.75">
      <c r="B491" s="36"/>
      <c r="C491" s="36"/>
      <c r="D491" s="36"/>
      <c r="E491" s="36"/>
      <c r="F491" s="36"/>
    </row>
    <row r="492" spans="2:6" ht="18.75">
      <c r="B492" s="36"/>
      <c r="C492" s="36"/>
      <c r="D492" s="36"/>
      <c r="E492" s="36"/>
      <c r="F492" s="36"/>
    </row>
    <row r="493" spans="2:6" ht="18.75">
      <c r="B493" s="36"/>
      <c r="C493" s="36"/>
      <c r="D493" s="36"/>
      <c r="E493" s="36"/>
      <c r="F493" s="36"/>
    </row>
    <row r="494" spans="2:6" ht="18.75">
      <c r="B494" s="36"/>
      <c r="C494" s="36"/>
      <c r="D494" s="36"/>
      <c r="E494" s="36"/>
      <c r="F494" s="36"/>
    </row>
    <row r="495" spans="2:6" ht="18.75">
      <c r="B495" s="36"/>
      <c r="C495" s="36"/>
      <c r="D495" s="36"/>
      <c r="E495" s="36"/>
      <c r="F495" s="36"/>
    </row>
    <row r="496" spans="2:6" ht="18.75">
      <c r="B496" s="36"/>
      <c r="C496" s="36"/>
      <c r="D496" s="36"/>
      <c r="E496" s="36"/>
      <c r="F496" s="36"/>
    </row>
    <row r="497" spans="2:6" ht="18.75">
      <c r="B497" s="36"/>
      <c r="C497" s="36"/>
      <c r="D497" s="36"/>
      <c r="E497" s="36"/>
      <c r="F497" s="36"/>
    </row>
    <row r="498" spans="2:6" ht="18.75">
      <c r="B498" s="36"/>
      <c r="C498" s="36"/>
      <c r="D498" s="36"/>
      <c r="E498" s="36"/>
      <c r="F498" s="36"/>
    </row>
    <row r="499" spans="2:6" ht="18.75">
      <c r="B499" s="36"/>
      <c r="C499" s="36"/>
      <c r="D499" s="36"/>
      <c r="E499" s="36"/>
      <c r="F499" s="36"/>
    </row>
    <row r="500" spans="2:6" ht="18.75">
      <c r="B500" s="36"/>
      <c r="C500" s="36"/>
      <c r="D500" s="36"/>
      <c r="E500" s="36"/>
      <c r="F500" s="36"/>
    </row>
    <row r="501" spans="2:6" ht="18.75">
      <c r="B501" s="36"/>
      <c r="C501" s="36"/>
      <c r="D501" s="36"/>
      <c r="E501" s="36"/>
      <c r="F501" s="36"/>
    </row>
    <row r="502" spans="2:6" ht="18.75">
      <c r="B502" s="36"/>
      <c r="C502" s="36"/>
      <c r="D502" s="36"/>
      <c r="E502" s="36"/>
      <c r="F502" s="36"/>
    </row>
    <row r="503" spans="2:6" ht="18.75">
      <c r="B503" s="36"/>
      <c r="C503" s="36"/>
      <c r="D503" s="36"/>
      <c r="E503" s="36"/>
      <c r="F503" s="36"/>
    </row>
    <row r="504" spans="2:6" ht="18.75">
      <c r="B504" s="36"/>
      <c r="C504" s="36"/>
      <c r="D504" s="36"/>
      <c r="E504" s="36"/>
      <c r="F504" s="36"/>
    </row>
    <row r="505" spans="2:6" ht="18.75">
      <c r="B505" s="36"/>
      <c r="C505" s="36"/>
      <c r="D505" s="36"/>
      <c r="E505" s="36"/>
      <c r="F505" s="36"/>
    </row>
    <row r="506" spans="2:6" ht="18.75">
      <c r="B506" s="36"/>
      <c r="C506" s="36"/>
      <c r="D506" s="36"/>
      <c r="E506" s="36"/>
      <c r="F506" s="36"/>
    </row>
    <row r="507" spans="2:6" ht="18.75">
      <c r="B507" s="36"/>
      <c r="C507" s="36"/>
      <c r="D507" s="36"/>
      <c r="E507" s="36"/>
      <c r="F507" s="36"/>
    </row>
    <row r="508" spans="2:6" ht="18.75">
      <c r="B508" s="36"/>
      <c r="C508" s="36"/>
      <c r="D508" s="36"/>
      <c r="E508" s="36"/>
      <c r="F508" s="36"/>
    </row>
    <row r="509" spans="2:6" ht="18.75">
      <c r="B509" s="36"/>
      <c r="C509" s="36"/>
      <c r="D509" s="36"/>
      <c r="E509" s="36"/>
      <c r="F509" s="36"/>
    </row>
    <row r="510" spans="2:6" ht="18.75">
      <c r="B510" s="36"/>
      <c r="C510" s="36"/>
      <c r="D510" s="36"/>
      <c r="E510" s="36"/>
      <c r="F510" s="36"/>
    </row>
    <row r="511" spans="2:6" ht="18.75">
      <c r="B511" s="36"/>
      <c r="C511" s="36"/>
      <c r="D511" s="36"/>
      <c r="E511" s="36"/>
      <c r="F511" s="36"/>
    </row>
    <row r="512" spans="2:6" ht="18.75">
      <c r="B512" s="36"/>
      <c r="C512" s="36"/>
      <c r="D512" s="36"/>
      <c r="E512" s="36"/>
      <c r="F512" s="36"/>
    </row>
    <row r="513" spans="2:6" ht="18.75">
      <c r="B513" s="36"/>
      <c r="C513" s="36"/>
      <c r="D513" s="36"/>
      <c r="E513" s="36"/>
      <c r="F513" s="36"/>
    </row>
    <row r="514" spans="2:6" ht="18.75">
      <c r="B514" s="36"/>
      <c r="C514" s="36"/>
      <c r="D514" s="36"/>
      <c r="E514" s="36"/>
      <c r="F514" s="36"/>
    </row>
    <row r="515" spans="2:6" ht="18.75">
      <c r="B515" s="36"/>
      <c r="C515" s="36"/>
      <c r="D515" s="36"/>
      <c r="E515" s="36"/>
      <c r="F515" s="36"/>
    </row>
    <row r="516" spans="2:6" ht="18.75">
      <c r="B516" s="36"/>
      <c r="C516" s="36"/>
      <c r="D516" s="36"/>
      <c r="E516" s="36"/>
      <c r="F516" s="36"/>
    </row>
    <row r="517" spans="2:6" ht="18.75">
      <c r="B517" s="36"/>
      <c r="C517" s="36"/>
      <c r="D517" s="36"/>
      <c r="E517" s="36"/>
      <c r="F517" s="36"/>
    </row>
    <row r="518" spans="2:6" ht="18.75">
      <c r="B518" s="36"/>
      <c r="C518" s="36"/>
      <c r="D518" s="36"/>
      <c r="E518" s="36"/>
      <c r="F518" s="36"/>
    </row>
    <row r="519" spans="2:6" ht="18.75">
      <c r="B519" s="36"/>
      <c r="C519" s="36"/>
      <c r="D519" s="36"/>
      <c r="E519" s="36"/>
      <c r="F519" s="36"/>
    </row>
    <row r="520" spans="2:6" ht="18.75">
      <c r="B520" s="36"/>
      <c r="C520" s="36"/>
      <c r="D520" s="36"/>
      <c r="E520" s="36"/>
      <c r="F520" s="36"/>
    </row>
    <row r="521" spans="2:6" ht="18.75">
      <c r="B521" s="36"/>
      <c r="C521" s="36"/>
      <c r="D521" s="36"/>
      <c r="E521" s="36"/>
      <c r="F521" s="36"/>
    </row>
    <row r="522" spans="2:6" ht="18.75">
      <c r="B522" s="36"/>
      <c r="C522" s="36"/>
      <c r="D522" s="36"/>
      <c r="E522" s="36"/>
      <c r="F522" s="36"/>
    </row>
    <row r="523" spans="2:6" ht="18.75">
      <c r="B523" s="36"/>
      <c r="C523" s="36"/>
      <c r="D523" s="36"/>
      <c r="E523" s="36"/>
      <c r="F523" s="36"/>
    </row>
    <row r="524" spans="2:6" ht="18.75">
      <c r="B524" s="36"/>
      <c r="C524" s="36"/>
      <c r="D524" s="36"/>
      <c r="E524" s="36"/>
      <c r="F524" s="36"/>
    </row>
    <row r="525" spans="2:6" ht="18.75">
      <c r="B525" s="36"/>
      <c r="C525" s="36"/>
      <c r="D525" s="36"/>
      <c r="E525" s="36"/>
      <c r="F525" s="36"/>
    </row>
    <row r="526" spans="2:6" ht="18.75">
      <c r="B526" s="36"/>
      <c r="C526" s="36"/>
      <c r="D526" s="36"/>
      <c r="E526" s="36"/>
      <c r="F526" s="36"/>
    </row>
    <row r="527" spans="2:6" ht="18.75">
      <c r="B527" s="36"/>
      <c r="C527" s="36"/>
      <c r="D527" s="36"/>
      <c r="E527" s="36"/>
      <c r="F527" s="36"/>
    </row>
    <row r="528" spans="2:6" ht="18.75">
      <c r="B528" s="36"/>
      <c r="C528" s="36"/>
      <c r="D528" s="36"/>
      <c r="E528" s="36"/>
      <c r="F528" s="36"/>
    </row>
    <row r="529" spans="2:6" ht="18.75">
      <c r="B529" s="36"/>
      <c r="C529" s="36"/>
      <c r="D529" s="36"/>
      <c r="E529" s="36"/>
      <c r="F529" s="36"/>
    </row>
    <row r="530" spans="2:6" ht="18.75">
      <c r="B530" s="36"/>
      <c r="C530" s="36"/>
      <c r="D530" s="36"/>
      <c r="E530" s="36"/>
      <c r="F530" s="36"/>
    </row>
    <row r="531" spans="2:6" ht="18.75">
      <c r="B531" s="36"/>
      <c r="C531" s="36"/>
      <c r="D531" s="36"/>
      <c r="E531" s="36"/>
      <c r="F531" s="36"/>
    </row>
    <row r="532" spans="2:6" ht="18.75">
      <c r="B532" s="36"/>
      <c r="C532" s="36"/>
      <c r="D532" s="36"/>
      <c r="E532" s="36"/>
      <c r="F532" s="36"/>
    </row>
    <row r="533" spans="2:6" ht="18.75">
      <c r="B533" s="36"/>
      <c r="C533" s="36"/>
      <c r="D533" s="36"/>
      <c r="E533" s="36"/>
      <c r="F533" s="36"/>
    </row>
    <row r="534" spans="2:6" ht="18.75">
      <c r="B534" s="36"/>
      <c r="C534" s="36"/>
      <c r="D534" s="36"/>
      <c r="E534" s="36"/>
      <c r="F534" s="36"/>
    </row>
    <row r="535" spans="2:6" ht="18.75">
      <c r="B535" s="36"/>
      <c r="C535" s="36"/>
      <c r="D535" s="36"/>
      <c r="E535" s="36"/>
      <c r="F535" s="36"/>
    </row>
    <row r="536" spans="2:6" ht="18.75">
      <c r="B536" s="36"/>
      <c r="C536" s="36"/>
      <c r="D536" s="36"/>
      <c r="E536" s="36"/>
      <c r="F536" s="36"/>
    </row>
    <row r="537" spans="2:6" ht="18.75">
      <c r="B537" s="36"/>
      <c r="C537" s="36"/>
      <c r="D537" s="36"/>
      <c r="E537" s="36"/>
      <c r="F537" s="36"/>
    </row>
    <row r="538" spans="2:6" ht="18.75">
      <c r="B538" s="36"/>
      <c r="C538" s="36"/>
      <c r="D538" s="36"/>
      <c r="E538" s="36"/>
      <c r="F538" s="36"/>
    </row>
    <row r="539" spans="2:6" ht="18.75">
      <c r="B539" s="36"/>
      <c r="C539" s="36"/>
      <c r="D539" s="36"/>
      <c r="E539" s="36"/>
      <c r="F539" s="36"/>
    </row>
    <row r="540" spans="2:6" ht="18.75">
      <c r="B540" s="36"/>
      <c r="C540" s="36"/>
      <c r="D540" s="36"/>
      <c r="E540" s="36"/>
      <c r="F540" s="36"/>
    </row>
    <row r="541" spans="2:6" ht="18.75">
      <c r="B541" s="36"/>
      <c r="C541" s="36"/>
      <c r="D541" s="36"/>
      <c r="E541" s="36"/>
      <c r="F541" s="36"/>
    </row>
    <row r="542" spans="2:6" ht="18.75">
      <c r="B542" s="36"/>
      <c r="C542" s="36"/>
      <c r="D542" s="36"/>
      <c r="E542" s="36"/>
      <c r="F542" s="36"/>
    </row>
    <row r="543" spans="2:6" ht="18.75">
      <c r="B543" s="36"/>
      <c r="C543" s="36"/>
      <c r="D543" s="36"/>
      <c r="E543" s="36"/>
      <c r="F543" s="36"/>
    </row>
    <row r="544" spans="2:6" ht="18.75">
      <c r="B544" s="36"/>
      <c r="C544" s="36"/>
      <c r="D544" s="36"/>
      <c r="E544" s="36"/>
      <c r="F544" s="36"/>
    </row>
    <row r="545" spans="2:6" ht="18.75">
      <c r="B545" s="36"/>
      <c r="C545" s="36"/>
      <c r="D545" s="36"/>
      <c r="E545" s="36"/>
      <c r="F545" s="36"/>
    </row>
    <row r="546" spans="2:6" ht="18.75">
      <c r="B546" s="36"/>
      <c r="C546" s="36"/>
      <c r="D546" s="36"/>
      <c r="E546" s="36"/>
      <c r="F546" s="36"/>
    </row>
    <row r="547" spans="2:6" ht="18.75">
      <c r="B547" s="36"/>
      <c r="C547" s="36"/>
      <c r="D547" s="36"/>
      <c r="E547" s="36"/>
      <c r="F547" s="36"/>
    </row>
    <row r="548" spans="2:6" ht="18.75">
      <c r="B548" s="36"/>
      <c r="C548" s="36"/>
      <c r="D548" s="36"/>
      <c r="E548" s="36"/>
      <c r="F548" s="36"/>
    </row>
    <row r="549" spans="2:6" ht="18.75">
      <c r="B549" s="36"/>
      <c r="C549" s="36"/>
      <c r="D549" s="36"/>
      <c r="E549" s="36"/>
      <c r="F549" s="36"/>
    </row>
    <row r="550" spans="2:6" ht="18.75">
      <c r="B550" s="36"/>
      <c r="C550" s="36"/>
      <c r="D550" s="36"/>
      <c r="E550" s="36"/>
      <c r="F550" s="36"/>
    </row>
    <row r="551" spans="2:6" ht="18.75">
      <c r="B551" s="36"/>
      <c r="C551" s="36"/>
      <c r="D551" s="36"/>
      <c r="E551" s="36"/>
      <c r="F551" s="36"/>
    </row>
    <row r="552" spans="2:6" ht="18.75">
      <c r="B552" s="36"/>
      <c r="C552" s="36"/>
      <c r="D552" s="36"/>
      <c r="E552" s="36"/>
      <c r="F552" s="36"/>
    </row>
    <row r="553" spans="2:6" ht="18.75">
      <c r="B553" s="36"/>
      <c r="C553" s="36"/>
      <c r="D553" s="36"/>
      <c r="E553" s="36"/>
      <c r="F553" s="36"/>
    </row>
    <row r="554" spans="2:6" ht="18.75">
      <c r="B554" s="36"/>
      <c r="C554" s="36"/>
      <c r="D554" s="36"/>
      <c r="E554" s="36"/>
      <c r="F554" s="36"/>
    </row>
    <row r="555" spans="2:6" ht="18.75">
      <c r="B555" s="36"/>
      <c r="C555" s="36"/>
      <c r="D555" s="36"/>
      <c r="E555" s="36"/>
      <c r="F555" s="36"/>
    </row>
    <row r="556" spans="2:6" ht="18.75">
      <c r="B556" s="36"/>
      <c r="C556" s="36"/>
      <c r="D556" s="36"/>
      <c r="E556" s="36"/>
      <c r="F556" s="36"/>
    </row>
    <row r="557" spans="2:6" ht="18.75">
      <c r="B557" s="36"/>
      <c r="C557" s="36"/>
      <c r="D557" s="36"/>
      <c r="E557" s="36"/>
      <c r="F557" s="36"/>
    </row>
    <row r="558" spans="2:6" ht="18.75">
      <c r="B558" s="36"/>
      <c r="C558" s="36"/>
      <c r="D558" s="36"/>
      <c r="E558" s="36"/>
      <c r="F558" s="36"/>
    </row>
    <row r="559" spans="2:6" ht="18.75">
      <c r="B559" s="36"/>
      <c r="C559" s="36"/>
      <c r="D559" s="36"/>
      <c r="E559" s="36"/>
      <c r="F559" s="36"/>
    </row>
    <row r="560" spans="2:6" ht="18.75">
      <c r="B560" s="36"/>
      <c r="C560" s="36"/>
      <c r="D560" s="36"/>
      <c r="E560" s="36"/>
      <c r="F560" s="36"/>
    </row>
    <row r="561" spans="2:6" ht="18.75">
      <c r="B561" s="36"/>
      <c r="C561" s="36"/>
      <c r="D561" s="36"/>
      <c r="E561" s="36"/>
      <c r="F561" s="36"/>
    </row>
    <row r="562" spans="2:6" ht="18.75">
      <c r="B562" s="36"/>
      <c r="C562" s="36"/>
      <c r="D562" s="36"/>
      <c r="E562" s="36"/>
      <c r="F562" s="36"/>
    </row>
    <row r="563" spans="2:6" ht="18.75">
      <c r="B563" s="36"/>
      <c r="C563" s="36"/>
      <c r="D563" s="36"/>
      <c r="E563" s="36"/>
      <c r="F563" s="36"/>
    </row>
    <row r="564" spans="2:6" ht="18.75">
      <c r="B564" s="36"/>
      <c r="C564" s="36"/>
      <c r="D564" s="36"/>
      <c r="E564" s="36"/>
      <c r="F564" s="36"/>
    </row>
    <row r="565" spans="2:6" ht="18.75">
      <c r="B565" s="36"/>
      <c r="C565" s="36"/>
      <c r="D565" s="36"/>
      <c r="E565" s="36"/>
      <c r="F565" s="36"/>
    </row>
    <row r="566" spans="2:6" ht="18.75">
      <c r="B566" s="36"/>
      <c r="C566" s="36"/>
      <c r="D566" s="36"/>
      <c r="E566" s="36"/>
      <c r="F566" s="36"/>
    </row>
    <row r="567" spans="2:6" ht="18.75">
      <c r="B567" s="36"/>
      <c r="C567" s="36"/>
      <c r="D567" s="36"/>
      <c r="E567" s="36"/>
      <c r="F567" s="36"/>
    </row>
    <row r="568" spans="2:6" ht="18.75">
      <c r="B568" s="36"/>
      <c r="C568" s="36"/>
      <c r="D568" s="36"/>
      <c r="E568" s="36"/>
      <c r="F568" s="36"/>
    </row>
    <row r="569" spans="2:6" ht="18.75">
      <c r="B569" s="36"/>
      <c r="C569" s="36"/>
      <c r="D569" s="36"/>
      <c r="E569" s="36"/>
      <c r="F569" s="36"/>
    </row>
    <row r="570" spans="2:6" ht="18.75">
      <c r="B570" s="36"/>
      <c r="C570" s="36"/>
      <c r="D570" s="36"/>
      <c r="E570" s="36"/>
      <c r="F570" s="36"/>
    </row>
    <row r="571" spans="2:6" ht="18.75">
      <c r="B571" s="36"/>
      <c r="C571" s="36"/>
      <c r="D571" s="36"/>
      <c r="E571" s="36"/>
      <c r="F571" s="36"/>
    </row>
    <row r="572" spans="2:6" ht="18.75">
      <c r="B572" s="36"/>
      <c r="C572" s="36"/>
      <c r="D572" s="36"/>
      <c r="E572" s="36"/>
      <c r="F572" s="36"/>
    </row>
    <row r="573" spans="2:6" ht="18.75">
      <c r="B573" s="36"/>
      <c r="C573" s="36"/>
      <c r="D573" s="36"/>
      <c r="E573" s="36"/>
      <c r="F573" s="36"/>
    </row>
    <row r="574" spans="2:6" ht="18.75">
      <c r="B574" s="36"/>
      <c r="C574" s="36"/>
      <c r="D574" s="36"/>
      <c r="E574" s="36"/>
      <c r="F574" s="36"/>
    </row>
    <row r="575" spans="2:6" ht="18.75">
      <c r="B575" s="36"/>
      <c r="C575" s="36"/>
      <c r="D575" s="36"/>
      <c r="E575" s="36"/>
      <c r="F575" s="36"/>
    </row>
    <row r="576" spans="2:6" ht="18.75">
      <c r="B576" s="36"/>
      <c r="C576" s="36"/>
      <c r="D576" s="36"/>
      <c r="E576" s="36"/>
      <c r="F576" s="36"/>
    </row>
    <row r="577" spans="2:6" ht="18.75">
      <c r="B577" s="36"/>
      <c r="C577" s="36"/>
      <c r="D577" s="36"/>
      <c r="E577" s="36"/>
      <c r="F577" s="36"/>
    </row>
  </sheetData>
  <sheetProtection/>
  <mergeCells count="80">
    <mergeCell ref="E8:F8"/>
    <mergeCell ref="E109:F109"/>
    <mergeCell ref="E110:F110"/>
    <mergeCell ref="E111:F111"/>
    <mergeCell ref="E112:F112"/>
    <mergeCell ref="E113:F113"/>
    <mergeCell ref="E85:F85"/>
    <mergeCell ref="B67:F67"/>
    <mergeCell ref="B68:B69"/>
    <mergeCell ref="C68:C69"/>
    <mergeCell ref="B124:C124"/>
    <mergeCell ref="E2:F2"/>
    <mergeCell ref="E4:F4"/>
    <mergeCell ref="E114:F114"/>
    <mergeCell ref="E120:F120"/>
    <mergeCell ref="B143:F143"/>
    <mergeCell ref="B70:B71"/>
    <mergeCell ref="B125:E125"/>
    <mergeCell ref="D134:E134"/>
    <mergeCell ref="D133:E133"/>
    <mergeCell ref="B139:C139"/>
    <mergeCell ref="D139:F139"/>
    <mergeCell ref="D127:E127"/>
    <mergeCell ref="D126:E126"/>
    <mergeCell ref="E107:F107"/>
    <mergeCell ref="E108:F108"/>
    <mergeCell ref="D124:E124"/>
    <mergeCell ref="D132:E132"/>
    <mergeCell ref="B122:F122"/>
    <mergeCell ref="B130:F130"/>
    <mergeCell ref="B145:C145"/>
    <mergeCell ref="D145:F145"/>
    <mergeCell ref="B147:C147"/>
    <mergeCell ref="B148:C148"/>
    <mergeCell ref="D148:E148"/>
    <mergeCell ref="D147:E147"/>
    <mergeCell ref="B140:C140"/>
    <mergeCell ref="D140:F140"/>
    <mergeCell ref="B142:F142"/>
    <mergeCell ref="B144:C144"/>
    <mergeCell ref="D144:F144"/>
    <mergeCell ref="B135:C135"/>
    <mergeCell ref="D135:E135"/>
    <mergeCell ref="B136:F136"/>
    <mergeCell ref="D137:E137"/>
    <mergeCell ref="B138:C138"/>
    <mergeCell ref="D138:F138"/>
    <mergeCell ref="B133:C133"/>
    <mergeCell ref="B134:C134"/>
    <mergeCell ref="B126:C126"/>
    <mergeCell ref="B127:C127"/>
    <mergeCell ref="B128:C128"/>
    <mergeCell ref="B132:C132"/>
    <mergeCell ref="D128:E128"/>
    <mergeCell ref="I124:J124"/>
    <mergeCell ref="K124:L124"/>
    <mergeCell ref="B6:F6"/>
    <mergeCell ref="E115:F115"/>
    <mergeCell ref="E116:F116"/>
    <mergeCell ref="E117:F117"/>
    <mergeCell ref="E118:F118"/>
    <mergeCell ref="E119:F119"/>
    <mergeCell ref="B107:B108"/>
    <mergeCell ref="C107:C108"/>
    <mergeCell ref="D107:D108"/>
    <mergeCell ref="D85:D86"/>
    <mergeCell ref="D44:D45"/>
    <mergeCell ref="D68:D69"/>
    <mergeCell ref="B83:F83"/>
    <mergeCell ref="E44:F44"/>
    <mergeCell ref="E68:F68"/>
    <mergeCell ref="B85:B86"/>
    <mergeCell ref="C85:C86"/>
    <mergeCell ref="C8:C9"/>
    <mergeCell ref="D8:D9"/>
    <mergeCell ref="B44:B45"/>
    <mergeCell ref="C44:C45"/>
    <mergeCell ref="B10:B11"/>
    <mergeCell ref="B46:B47"/>
    <mergeCell ref="B8:B9"/>
  </mergeCells>
  <printOptions/>
  <pageMargins left="0.15748031496062992" right="0.1968503937007874" top="0.31496062992125984" bottom="0.2362204724409449" header="0.15748031496062992" footer="0.15748031496062992"/>
  <pageSetup horizontalDpi="600" verticalDpi="600" orientation="portrait" paperSize="9" scale="94" r:id="rId1"/>
  <rowBreaks count="3" manualBreakCount="3">
    <brk id="43" max="255" man="1"/>
    <brk id="82" max="255" man="1"/>
    <brk id="120" max="255" man="1"/>
  </rowBreaks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E28"/>
  <sheetViews>
    <sheetView zoomScalePageLayoutView="0" workbookViewId="0" topLeftCell="A1">
      <selection activeCell="C2" sqref="C2:E4"/>
    </sheetView>
  </sheetViews>
  <sheetFormatPr defaultColWidth="9.00390625" defaultRowHeight="12.75"/>
  <cols>
    <col min="1" max="1" width="2.875" style="50" customWidth="1"/>
    <col min="2" max="2" width="5.75390625" style="50" customWidth="1"/>
    <col min="3" max="3" width="55.125" style="50" customWidth="1"/>
    <col min="4" max="4" width="10.125" style="50" customWidth="1"/>
    <col min="5" max="5" width="19.75390625" style="50" customWidth="1"/>
    <col min="6" max="16384" width="9.125" style="50" customWidth="1"/>
  </cols>
  <sheetData>
    <row r="2" spans="3:5" ht="18.75">
      <c r="C2" s="350"/>
      <c r="D2" s="350"/>
      <c r="E2" s="350"/>
    </row>
    <row r="3" spans="3:5" ht="18.75">
      <c r="C3" s="431"/>
      <c r="D3" s="431"/>
      <c r="E3" s="431"/>
    </row>
    <row r="4" spans="3:5" ht="18.75">
      <c r="C4" s="431"/>
      <c r="D4" s="431"/>
      <c r="E4" s="431"/>
    </row>
    <row r="5" ht="18.75">
      <c r="D5" s="222"/>
    </row>
    <row r="7" spans="2:5" ht="23.25" customHeight="1">
      <c r="B7" s="323" t="s">
        <v>216</v>
      </c>
      <c r="C7" s="323"/>
      <c r="D7" s="323"/>
      <c r="E7" s="323"/>
    </row>
    <row r="8" ht="22.5" customHeight="1"/>
    <row r="9" spans="2:5" ht="45" customHeight="1">
      <c r="B9" s="51" t="s">
        <v>104</v>
      </c>
      <c r="C9" s="51" t="s">
        <v>217</v>
      </c>
      <c r="D9" s="51" t="s">
        <v>134</v>
      </c>
      <c r="E9" s="224" t="s">
        <v>135</v>
      </c>
    </row>
    <row r="10" spans="2:5" ht="21" customHeight="1">
      <c r="B10" s="51">
        <v>1</v>
      </c>
      <c r="C10" s="220" t="s">
        <v>218</v>
      </c>
      <c r="D10" s="221" t="s">
        <v>219</v>
      </c>
      <c r="E10" s="223">
        <v>29</v>
      </c>
    </row>
    <row r="11" spans="2:5" ht="36" customHeight="1">
      <c r="B11" s="51">
        <v>2</v>
      </c>
      <c r="C11" s="220" t="s">
        <v>390</v>
      </c>
      <c r="D11" s="221" t="s">
        <v>219</v>
      </c>
      <c r="E11" s="223">
        <v>35</v>
      </c>
    </row>
    <row r="12" spans="2:5" ht="25.5" customHeight="1">
      <c r="B12" s="51">
        <v>3</v>
      </c>
      <c r="C12" s="220" t="s">
        <v>220</v>
      </c>
      <c r="D12" s="221" t="s">
        <v>219</v>
      </c>
      <c r="E12" s="223">
        <v>15</v>
      </c>
    </row>
    <row r="13" spans="2:5" ht="25.5" customHeight="1">
      <c r="B13" s="51">
        <v>4</v>
      </c>
      <c r="C13" s="220" t="s">
        <v>221</v>
      </c>
      <c r="D13" s="221" t="s">
        <v>219</v>
      </c>
      <c r="E13" s="223">
        <v>24</v>
      </c>
    </row>
    <row r="14" spans="2:5" ht="22.5" customHeight="1">
      <c r="B14" s="51">
        <v>5</v>
      </c>
      <c r="C14" s="220" t="s">
        <v>222</v>
      </c>
      <c r="D14" s="221" t="s">
        <v>219</v>
      </c>
      <c r="E14" s="223">
        <v>26</v>
      </c>
    </row>
    <row r="15" spans="2:5" ht="22.5" customHeight="1">
      <c r="B15" s="51">
        <v>6</v>
      </c>
      <c r="C15" s="220" t="s">
        <v>223</v>
      </c>
      <c r="D15" s="221" t="s">
        <v>219</v>
      </c>
      <c r="E15" s="223">
        <v>25</v>
      </c>
    </row>
    <row r="16" spans="2:5" ht="24" customHeight="1">
      <c r="B16" s="51">
        <v>7</v>
      </c>
      <c r="C16" s="220" t="s">
        <v>224</v>
      </c>
      <c r="D16" s="221" t="s">
        <v>219</v>
      </c>
      <c r="E16" s="223">
        <v>30</v>
      </c>
    </row>
    <row r="17" spans="2:5" ht="24" customHeight="1">
      <c r="B17" s="232">
        <v>8</v>
      </c>
      <c r="C17" s="231" t="s">
        <v>423</v>
      </c>
      <c r="D17" s="221" t="s">
        <v>219</v>
      </c>
      <c r="E17" s="223">
        <v>33</v>
      </c>
    </row>
    <row r="18" spans="2:5" ht="39" customHeight="1">
      <c r="B18" s="51">
        <v>9</v>
      </c>
      <c r="C18" s="220" t="s">
        <v>225</v>
      </c>
      <c r="D18" s="221" t="s">
        <v>219</v>
      </c>
      <c r="E18" s="223">
        <v>33</v>
      </c>
    </row>
    <row r="19" spans="2:5" ht="21" customHeight="1">
      <c r="B19" s="51">
        <v>10</v>
      </c>
      <c r="C19" s="220" t="s">
        <v>226</v>
      </c>
      <c r="D19" s="221" t="s">
        <v>219</v>
      </c>
      <c r="E19" s="223">
        <v>25</v>
      </c>
    </row>
    <row r="20" spans="2:5" ht="24" customHeight="1">
      <c r="B20" s="51">
        <v>11</v>
      </c>
      <c r="C20" s="220" t="s">
        <v>227</v>
      </c>
      <c r="D20" s="221" t="s">
        <v>219</v>
      </c>
      <c r="E20" s="223">
        <v>20</v>
      </c>
    </row>
    <row r="21" spans="2:5" ht="36.75" customHeight="1">
      <c r="B21" s="51">
        <v>12</v>
      </c>
      <c r="C21" s="220" t="s">
        <v>392</v>
      </c>
      <c r="D21" s="221" t="s">
        <v>219</v>
      </c>
      <c r="E21" s="223">
        <v>28</v>
      </c>
    </row>
    <row r="22" spans="2:5" ht="36.75" customHeight="1">
      <c r="B22" s="51">
        <v>13</v>
      </c>
      <c r="C22" s="220" t="s">
        <v>391</v>
      </c>
      <c r="D22" s="221" t="s">
        <v>219</v>
      </c>
      <c r="E22" s="223">
        <v>33</v>
      </c>
    </row>
    <row r="23" spans="2:5" ht="20.25" customHeight="1">
      <c r="B23" s="51">
        <v>14</v>
      </c>
      <c r="C23" s="220" t="s">
        <v>228</v>
      </c>
      <c r="D23" s="221" t="s">
        <v>219</v>
      </c>
      <c r="E23" s="223">
        <v>35</v>
      </c>
    </row>
    <row r="24" spans="2:5" ht="22.5" customHeight="1">
      <c r="B24" s="51">
        <v>15</v>
      </c>
      <c r="C24" s="220" t="s">
        <v>229</v>
      </c>
      <c r="D24" s="221" t="s">
        <v>219</v>
      </c>
      <c r="E24" s="223">
        <v>14</v>
      </c>
    </row>
    <row r="25" spans="2:5" ht="36.75" customHeight="1">
      <c r="B25" s="51">
        <v>16</v>
      </c>
      <c r="C25" s="220" t="s">
        <v>230</v>
      </c>
      <c r="D25" s="221" t="s">
        <v>219</v>
      </c>
      <c r="E25" s="223">
        <v>20</v>
      </c>
    </row>
    <row r="26" spans="2:5" ht="25.5" customHeight="1">
      <c r="B26" s="51">
        <v>17</v>
      </c>
      <c r="C26" s="220" t="s">
        <v>231</v>
      </c>
      <c r="D26" s="221" t="s">
        <v>219</v>
      </c>
      <c r="E26" s="223">
        <v>20</v>
      </c>
    </row>
    <row r="27" spans="2:5" ht="21.75" customHeight="1">
      <c r="B27" s="51">
        <v>18</v>
      </c>
      <c r="C27" s="220" t="s">
        <v>232</v>
      </c>
      <c r="D27" s="221" t="s">
        <v>219</v>
      </c>
      <c r="E27" s="223">
        <v>15</v>
      </c>
    </row>
    <row r="28" spans="2:5" ht="36" customHeight="1">
      <c r="B28" s="51">
        <v>19</v>
      </c>
      <c r="C28" s="220" t="s">
        <v>233</v>
      </c>
      <c r="D28" s="221" t="s">
        <v>219</v>
      </c>
      <c r="E28" s="223">
        <v>20</v>
      </c>
    </row>
  </sheetData>
  <sheetProtection/>
  <mergeCells count="4">
    <mergeCell ref="B7:E7"/>
    <mergeCell ref="C2:E2"/>
    <mergeCell ref="C3:E3"/>
    <mergeCell ref="C4:E4"/>
  </mergeCells>
  <printOptions/>
  <pageMargins left="0.16" right="0.21" top="0.28" bottom="0.75" header="0.16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C2" sqref="C2:E4"/>
    </sheetView>
  </sheetViews>
  <sheetFormatPr defaultColWidth="9.00390625" defaultRowHeight="12.75"/>
  <cols>
    <col min="1" max="1" width="2.875" style="31" customWidth="1"/>
    <col min="2" max="2" width="4.625" style="74" customWidth="1"/>
    <col min="3" max="3" width="54.25390625" style="31" customWidth="1"/>
    <col min="4" max="4" width="9.375" style="74" customWidth="1"/>
    <col min="5" max="5" width="23.875" style="74" customWidth="1"/>
    <col min="6" max="16384" width="9.125" style="31" customWidth="1"/>
  </cols>
  <sheetData>
    <row r="1" ht="9" customHeight="1"/>
    <row r="2" spans="3:5" s="225" customFormat="1" ht="18.75">
      <c r="C2" s="350"/>
      <c r="D2" s="350"/>
      <c r="E2" s="350"/>
    </row>
    <row r="3" spans="3:5" s="225" customFormat="1" ht="18.75">
      <c r="C3" s="386"/>
      <c r="D3" s="386"/>
      <c r="E3" s="386"/>
    </row>
    <row r="4" spans="3:5" s="225" customFormat="1" ht="18.75">
      <c r="C4" s="386"/>
      <c r="D4" s="386"/>
      <c r="E4" s="386"/>
    </row>
    <row r="5" spans="4:5" s="225" customFormat="1" ht="18.75">
      <c r="D5" s="82"/>
      <c r="E5" s="74"/>
    </row>
    <row r="6" spans="4:5" s="225" customFormat="1" ht="18.75">
      <c r="D6" s="82"/>
      <c r="E6" s="74"/>
    </row>
    <row r="7" spans="4:5" s="225" customFormat="1" ht="18.75">
      <c r="D7" s="82"/>
      <c r="E7" s="74"/>
    </row>
    <row r="8" spans="2:9" ht="26.25" customHeight="1">
      <c r="B8" s="382" t="s">
        <v>237</v>
      </c>
      <c r="C8" s="382"/>
      <c r="D8" s="382"/>
      <c r="E8" s="382"/>
      <c r="F8" s="44"/>
      <c r="G8" s="44"/>
      <c r="H8" s="44"/>
      <c r="I8" s="44"/>
    </row>
    <row r="10" spans="2:5" ht="45.75" customHeight="1">
      <c r="B10" s="90" t="s">
        <v>104</v>
      </c>
      <c r="C10" s="106" t="s">
        <v>133</v>
      </c>
      <c r="D10" s="90" t="s">
        <v>134</v>
      </c>
      <c r="E10" s="38" t="s">
        <v>135</v>
      </c>
    </row>
    <row r="11" spans="2:5" ht="35.25" customHeight="1">
      <c r="B11" s="51">
        <v>1</v>
      </c>
      <c r="C11" s="52" t="s">
        <v>234</v>
      </c>
      <c r="D11" s="51" t="s">
        <v>235</v>
      </c>
      <c r="E11" s="53">
        <v>0.13</v>
      </c>
    </row>
    <row r="12" spans="2:5" ht="41.25" customHeight="1">
      <c r="B12" s="51">
        <v>2</v>
      </c>
      <c r="C12" s="52" t="s">
        <v>236</v>
      </c>
      <c r="D12" s="51" t="s">
        <v>235</v>
      </c>
      <c r="E12" s="53">
        <v>0.14</v>
      </c>
    </row>
    <row r="13" spans="2:5" ht="37.5">
      <c r="B13" s="51">
        <v>3</v>
      </c>
      <c r="C13" s="230" t="s">
        <v>422</v>
      </c>
      <c r="D13" s="37"/>
      <c r="E13" s="45">
        <v>0.16</v>
      </c>
    </row>
    <row r="15" spans="2:5" ht="18.75">
      <c r="B15" s="376"/>
      <c r="C15" s="376"/>
      <c r="D15" s="377"/>
      <c r="E15" s="377"/>
    </row>
  </sheetData>
  <sheetProtection/>
  <mergeCells count="6">
    <mergeCell ref="C2:E2"/>
    <mergeCell ref="C3:E3"/>
    <mergeCell ref="C4:E4"/>
    <mergeCell ref="B15:C15"/>
    <mergeCell ref="D15:E15"/>
    <mergeCell ref="B8:E8"/>
  </mergeCells>
  <printOptions/>
  <pageMargins left="0.16" right="0.21" top="0.26" bottom="0.75" header="0.16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46"/>
  <sheetViews>
    <sheetView zoomScalePageLayoutView="0" workbookViewId="0" topLeftCell="A1">
      <selection activeCell="C2" sqref="C2:E4"/>
    </sheetView>
  </sheetViews>
  <sheetFormatPr defaultColWidth="9.00390625" defaultRowHeight="12.75"/>
  <cols>
    <col min="1" max="1" width="2.25390625" style="31" customWidth="1"/>
    <col min="2" max="2" width="4.625" style="74" customWidth="1"/>
    <col min="3" max="3" width="52.75390625" style="31" customWidth="1"/>
    <col min="4" max="4" width="10.125" style="74" customWidth="1"/>
    <col min="5" max="5" width="25.125" style="74" customWidth="1"/>
    <col min="6" max="16384" width="9.125" style="31" customWidth="1"/>
  </cols>
  <sheetData>
    <row r="1" ht="9" customHeight="1"/>
    <row r="2" spans="3:5" ht="15.75" customHeight="1">
      <c r="C2" s="432"/>
      <c r="D2" s="432"/>
      <c r="E2" s="432"/>
    </row>
    <row r="3" spans="3:5" ht="21.75" customHeight="1">
      <c r="C3" s="386"/>
      <c r="D3" s="386"/>
      <c r="E3" s="386"/>
    </row>
    <row r="4" spans="3:5" ht="18" customHeight="1">
      <c r="C4" s="386"/>
      <c r="D4" s="386"/>
      <c r="E4" s="386"/>
    </row>
    <row r="5" spans="4:5" ht="18" customHeight="1">
      <c r="D5" s="81"/>
      <c r="E5" s="81"/>
    </row>
    <row r="6" spans="2:9" ht="21.75" customHeight="1">
      <c r="B6" s="382" t="s">
        <v>216</v>
      </c>
      <c r="C6" s="382"/>
      <c r="D6" s="382"/>
      <c r="E6" s="382"/>
      <c r="F6" s="44"/>
      <c r="G6" s="44"/>
      <c r="H6" s="44"/>
      <c r="I6" s="44"/>
    </row>
    <row r="8" spans="2:5" ht="37.5" customHeight="1">
      <c r="B8" s="38" t="s">
        <v>104</v>
      </c>
      <c r="C8" s="41" t="s">
        <v>133</v>
      </c>
      <c r="D8" s="38" t="s">
        <v>134</v>
      </c>
      <c r="E8" s="38" t="s">
        <v>135</v>
      </c>
    </row>
    <row r="9" spans="2:5" ht="19.5" customHeight="1">
      <c r="B9" s="433" t="s">
        <v>238</v>
      </c>
      <c r="C9" s="433"/>
      <c r="D9" s="433"/>
      <c r="E9" s="433"/>
    </row>
    <row r="10" spans="2:5" ht="18" customHeight="1">
      <c r="B10" s="45">
        <v>1</v>
      </c>
      <c r="C10" s="42" t="s">
        <v>239</v>
      </c>
      <c r="D10" s="45" t="s">
        <v>235</v>
      </c>
      <c r="E10" s="49">
        <v>3</v>
      </c>
    </row>
    <row r="11" spans="2:5" ht="18.75">
      <c r="B11" s="45">
        <v>2</v>
      </c>
      <c r="C11" s="42" t="s">
        <v>240</v>
      </c>
      <c r="D11" s="45" t="s">
        <v>235</v>
      </c>
      <c r="E11" s="49">
        <v>3.5</v>
      </c>
    </row>
    <row r="12" spans="2:5" ht="18.75">
      <c r="B12" s="45">
        <v>3</v>
      </c>
      <c r="C12" s="42" t="s">
        <v>241</v>
      </c>
      <c r="D12" s="45" t="s">
        <v>235</v>
      </c>
      <c r="E12" s="49">
        <v>4.5</v>
      </c>
    </row>
    <row r="13" spans="2:5" ht="18.75">
      <c r="B13" s="45">
        <v>4</v>
      </c>
      <c r="C13" s="42" t="s">
        <v>242</v>
      </c>
      <c r="D13" s="45" t="s">
        <v>235</v>
      </c>
      <c r="E13" s="49">
        <v>4.5</v>
      </c>
    </row>
    <row r="14" spans="2:5" ht="18.75">
      <c r="B14" s="45">
        <v>5</v>
      </c>
      <c r="C14" s="36" t="s">
        <v>243</v>
      </c>
      <c r="D14" s="37" t="s">
        <v>235</v>
      </c>
      <c r="E14" s="54">
        <v>3</v>
      </c>
    </row>
    <row r="15" spans="2:5" ht="18.75">
      <c r="B15" s="45">
        <v>6</v>
      </c>
      <c r="C15" s="36" t="s">
        <v>244</v>
      </c>
      <c r="D15" s="37" t="s">
        <v>235</v>
      </c>
      <c r="E15" s="54">
        <v>3.5</v>
      </c>
    </row>
    <row r="16" spans="2:5" ht="18.75">
      <c r="B16" s="233">
        <v>7</v>
      </c>
      <c r="C16" s="234" t="s">
        <v>401</v>
      </c>
      <c r="D16" s="37" t="s">
        <v>235</v>
      </c>
      <c r="E16" s="54">
        <v>3</v>
      </c>
    </row>
    <row r="17" spans="2:5" ht="18.75">
      <c r="B17" s="45">
        <v>8</v>
      </c>
      <c r="C17" s="36" t="s">
        <v>245</v>
      </c>
      <c r="D17" s="37" t="s">
        <v>235</v>
      </c>
      <c r="E17" s="54">
        <v>6.5</v>
      </c>
    </row>
    <row r="18" spans="2:5" ht="18.75">
      <c r="B18" s="45">
        <v>9</v>
      </c>
      <c r="C18" s="36" t="s">
        <v>246</v>
      </c>
      <c r="D18" s="37" t="s">
        <v>235</v>
      </c>
      <c r="E18" s="54">
        <v>5</v>
      </c>
    </row>
    <row r="19" spans="2:5" ht="18.75">
      <c r="B19" s="45">
        <v>10</v>
      </c>
      <c r="C19" s="36" t="s">
        <v>247</v>
      </c>
      <c r="D19" s="37" t="s">
        <v>235</v>
      </c>
      <c r="E19" s="54">
        <v>6</v>
      </c>
    </row>
    <row r="20" spans="2:5" ht="18.75">
      <c r="B20" s="45">
        <v>11</v>
      </c>
      <c r="C20" s="36" t="s">
        <v>248</v>
      </c>
      <c r="D20" s="37" t="s">
        <v>235</v>
      </c>
      <c r="E20" s="54">
        <v>8</v>
      </c>
    </row>
    <row r="21" spans="2:5" ht="18.75">
      <c r="B21" s="45">
        <v>12</v>
      </c>
      <c r="C21" s="36" t="s">
        <v>249</v>
      </c>
      <c r="D21" s="37" t="s">
        <v>235</v>
      </c>
      <c r="E21" s="54">
        <v>5</v>
      </c>
    </row>
    <row r="22" spans="2:5" ht="18.75">
      <c r="B22" s="45">
        <v>13</v>
      </c>
      <c r="C22" s="36" t="s">
        <v>250</v>
      </c>
      <c r="D22" s="37" t="s">
        <v>235</v>
      </c>
      <c r="E22" s="54">
        <v>8</v>
      </c>
    </row>
    <row r="23" spans="2:5" ht="18.75">
      <c r="B23" s="45">
        <v>14</v>
      </c>
      <c r="C23" s="36" t="s">
        <v>251</v>
      </c>
      <c r="D23" s="37" t="s">
        <v>235</v>
      </c>
      <c r="E23" s="54">
        <v>3.5</v>
      </c>
    </row>
    <row r="24" spans="2:5" ht="18.75">
      <c r="B24" s="45">
        <v>15</v>
      </c>
      <c r="C24" s="36" t="s">
        <v>252</v>
      </c>
      <c r="D24" s="37" t="s">
        <v>235</v>
      </c>
      <c r="E24" s="54">
        <v>5.5</v>
      </c>
    </row>
    <row r="25" spans="2:5" ht="18.75">
      <c r="B25" s="45">
        <v>16</v>
      </c>
      <c r="C25" s="36" t="s">
        <v>253</v>
      </c>
      <c r="D25" s="37" t="s">
        <v>235</v>
      </c>
      <c r="E25" s="54">
        <v>3.5</v>
      </c>
    </row>
    <row r="26" spans="2:5" ht="18.75">
      <c r="B26" s="45">
        <v>17</v>
      </c>
      <c r="C26" s="36" t="s">
        <v>254</v>
      </c>
      <c r="D26" s="37" t="s">
        <v>235</v>
      </c>
      <c r="E26" s="54">
        <v>5.5</v>
      </c>
    </row>
    <row r="27" spans="2:5" ht="18.75">
      <c r="B27" s="45">
        <v>18</v>
      </c>
      <c r="C27" s="36" t="s">
        <v>255</v>
      </c>
      <c r="D27" s="37" t="s">
        <v>235</v>
      </c>
      <c r="E27" s="54">
        <v>4</v>
      </c>
    </row>
    <row r="28" spans="2:5" ht="18.75">
      <c r="B28" s="45">
        <v>19</v>
      </c>
      <c r="C28" s="36" t="s">
        <v>256</v>
      </c>
      <c r="D28" s="37" t="s">
        <v>235</v>
      </c>
      <c r="E28" s="54">
        <v>3</v>
      </c>
    </row>
    <row r="29" spans="2:5" ht="18.75">
      <c r="B29" s="45">
        <v>20</v>
      </c>
      <c r="C29" s="234" t="s">
        <v>402</v>
      </c>
      <c r="D29" s="37" t="s">
        <v>235</v>
      </c>
      <c r="E29" s="54">
        <v>5</v>
      </c>
    </row>
    <row r="30" spans="2:5" ht="18.75">
      <c r="B30" s="45">
        <v>21</v>
      </c>
      <c r="C30" s="92" t="s">
        <v>363</v>
      </c>
      <c r="D30" s="37" t="s">
        <v>235</v>
      </c>
      <c r="E30" s="54">
        <v>3.5</v>
      </c>
    </row>
    <row r="31" spans="2:5" ht="18.75">
      <c r="B31" s="45">
        <v>22</v>
      </c>
      <c r="C31" s="92" t="s">
        <v>364</v>
      </c>
      <c r="D31" s="37" t="s">
        <v>235</v>
      </c>
      <c r="E31" s="54">
        <v>5.5</v>
      </c>
    </row>
    <row r="32" spans="2:5" ht="18.75">
      <c r="B32" s="45">
        <v>23</v>
      </c>
      <c r="C32" s="36" t="s">
        <v>257</v>
      </c>
      <c r="D32" s="37" t="s">
        <v>235</v>
      </c>
      <c r="E32" s="54">
        <v>3.5</v>
      </c>
    </row>
    <row r="33" spans="2:5" ht="18.75">
      <c r="B33" s="45">
        <v>24</v>
      </c>
      <c r="C33" s="36" t="s">
        <v>258</v>
      </c>
      <c r="D33" s="37" t="s">
        <v>235</v>
      </c>
      <c r="E33" s="54">
        <v>5.5</v>
      </c>
    </row>
    <row r="34" spans="2:5" ht="18.75">
      <c r="B34" s="45">
        <v>25</v>
      </c>
      <c r="C34" s="36" t="s">
        <v>259</v>
      </c>
      <c r="D34" s="37" t="s">
        <v>235</v>
      </c>
      <c r="E34" s="54">
        <v>5.5</v>
      </c>
    </row>
    <row r="35" spans="2:5" ht="18.75">
      <c r="B35" s="45">
        <v>26</v>
      </c>
      <c r="C35" s="234" t="s">
        <v>403</v>
      </c>
      <c r="D35" s="37" t="s">
        <v>235</v>
      </c>
      <c r="E35" s="228">
        <v>4</v>
      </c>
    </row>
    <row r="36" spans="2:5" ht="18.75">
      <c r="B36" s="45">
        <v>27</v>
      </c>
      <c r="C36" s="92" t="s">
        <v>365</v>
      </c>
      <c r="D36" s="37" t="s">
        <v>235</v>
      </c>
      <c r="E36" s="54">
        <v>5.5</v>
      </c>
    </row>
    <row r="37" spans="2:5" ht="18.75">
      <c r="B37" s="45">
        <v>28</v>
      </c>
      <c r="C37" s="36" t="s">
        <v>260</v>
      </c>
      <c r="D37" s="37" t="s">
        <v>235</v>
      </c>
      <c r="E37" s="54">
        <v>5</v>
      </c>
    </row>
    <row r="38" spans="2:5" ht="18.75">
      <c r="B38" s="45">
        <v>29</v>
      </c>
      <c r="C38" s="36" t="s">
        <v>261</v>
      </c>
      <c r="D38" s="37" t="s">
        <v>235</v>
      </c>
      <c r="E38" s="54">
        <v>3.5</v>
      </c>
    </row>
    <row r="39" spans="2:5" ht="18.75">
      <c r="B39" s="45">
        <v>30</v>
      </c>
      <c r="C39" s="36" t="s">
        <v>262</v>
      </c>
      <c r="D39" s="37" t="s">
        <v>235</v>
      </c>
      <c r="E39" s="54">
        <v>4.5</v>
      </c>
    </row>
    <row r="40" spans="2:5" ht="18.75">
      <c r="B40" s="45">
        <v>31</v>
      </c>
      <c r="C40" s="234" t="s">
        <v>404</v>
      </c>
      <c r="D40" s="37"/>
      <c r="E40" s="54">
        <v>6</v>
      </c>
    </row>
    <row r="41" spans="2:5" ht="18.75">
      <c r="B41" s="45">
        <v>32</v>
      </c>
      <c r="C41" s="36" t="s">
        <v>263</v>
      </c>
      <c r="D41" s="37" t="s">
        <v>235</v>
      </c>
      <c r="E41" s="54">
        <v>5.5</v>
      </c>
    </row>
    <row r="42" spans="2:5" ht="18.75">
      <c r="B42" s="45">
        <v>33</v>
      </c>
      <c r="C42" s="36" t="s">
        <v>264</v>
      </c>
      <c r="D42" s="37" t="s">
        <v>235</v>
      </c>
      <c r="E42" s="54">
        <v>5</v>
      </c>
    </row>
    <row r="43" spans="2:5" ht="18.75">
      <c r="B43" s="45">
        <v>34</v>
      </c>
      <c r="C43" s="234" t="s">
        <v>405</v>
      </c>
      <c r="D43" s="37"/>
      <c r="E43" s="54">
        <v>6.5</v>
      </c>
    </row>
    <row r="44" spans="2:5" ht="18.75">
      <c r="B44" s="45">
        <v>35</v>
      </c>
      <c r="C44" s="36" t="s">
        <v>265</v>
      </c>
      <c r="D44" s="37" t="s">
        <v>235</v>
      </c>
      <c r="E44" s="54">
        <v>6.5</v>
      </c>
    </row>
    <row r="45" spans="2:5" ht="18.75">
      <c r="B45" s="45">
        <v>36</v>
      </c>
      <c r="C45" s="36" t="s">
        <v>266</v>
      </c>
      <c r="D45" s="37" t="s">
        <v>235</v>
      </c>
      <c r="E45" s="54">
        <v>5</v>
      </c>
    </row>
    <row r="46" spans="2:5" ht="18.75">
      <c r="B46" s="45">
        <v>37</v>
      </c>
      <c r="C46" s="36" t="s">
        <v>267</v>
      </c>
      <c r="D46" s="37" t="s">
        <v>235</v>
      </c>
      <c r="E46" s="54">
        <v>3.5</v>
      </c>
    </row>
  </sheetData>
  <sheetProtection/>
  <mergeCells count="5">
    <mergeCell ref="C2:E2"/>
    <mergeCell ref="C3:E3"/>
    <mergeCell ref="C4:E4"/>
    <mergeCell ref="B6:E6"/>
    <mergeCell ref="B9:E9"/>
  </mergeCells>
  <printOptions/>
  <pageMargins left="0.16" right="0.21" top="0.25" bottom="0.27" header="0.16" footer="0.17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D2" sqref="D2:E4"/>
    </sheetView>
  </sheetViews>
  <sheetFormatPr defaultColWidth="9.00390625" defaultRowHeight="12.75"/>
  <cols>
    <col min="1" max="1" width="2.00390625" style="31" customWidth="1"/>
    <col min="2" max="2" width="4.625" style="74" customWidth="1"/>
    <col min="3" max="3" width="42.125" style="31" customWidth="1"/>
    <col min="4" max="4" width="16.00390625" style="74" customWidth="1"/>
    <col min="5" max="5" width="31.875" style="74" customWidth="1"/>
    <col min="6" max="16384" width="9.125" style="31" customWidth="1"/>
  </cols>
  <sheetData>
    <row r="1" ht="9" customHeight="1"/>
    <row r="2" spans="4:5" ht="18" customHeight="1">
      <c r="D2" s="387"/>
      <c r="E2" s="387"/>
    </row>
    <row r="3" spans="4:5" ht="18" customHeight="1">
      <c r="D3" s="376"/>
      <c r="E3" s="376"/>
    </row>
    <row r="4" spans="4:5" ht="18.75" customHeight="1">
      <c r="D4" s="377"/>
      <c r="E4" s="377"/>
    </row>
    <row r="5" spans="4:5" ht="18.75" customHeight="1">
      <c r="D5" s="81"/>
      <c r="E5" s="81"/>
    </row>
    <row r="6" spans="2:9" ht="26.25" customHeight="1">
      <c r="B6" s="382" t="s">
        <v>216</v>
      </c>
      <c r="C6" s="382"/>
      <c r="D6" s="382"/>
      <c r="E6" s="382"/>
      <c r="F6" s="44"/>
      <c r="G6" s="44"/>
      <c r="H6" s="44"/>
      <c r="I6" s="44"/>
    </row>
    <row r="8" spans="2:5" ht="37.5" customHeight="1">
      <c r="B8" s="38" t="s">
        <v>104</v>
      </c>
      <c r="C8" s="41" t="s">
        <v>133</v>
      </c>
      <c r="D8" s="38" t="s">
        <v>134</v>
      </c>
      <c r="E8" s="38" t="s">
        <v>135</v>
      </c>
    </row>
    <row r="9" spans="2:5" ht="18.75">
      <c r="B9" s="433" t="s">
        <v>300</v>
      </c>
      <c r="C9" s="433"/>
      <c r="D9" s="433"/>
      <c r="E9" s="433"/>
    </row>
    <row r="10" spans="2:5" ht="18.75">
      <c r="B10" s="37">
        <v>1</v>
      </c>
      <c r="C10" s="36" t="s">
        <v>301</v>
      </c>
      <c r="D10" s="37" t="s">
        <v>302</v>
      </c>
      <c r="E10" s="54">
        <v>330</v>
      </c>
    </row>
    <row r="11" spans="2:5" ht="18.75">
      <c r="B11" s="37">
        <v>2</v>
      </c>
      <c r="C11" s="36" t="s">
        <v>303</v>
      </c>
      <c r="D11" s="37" t="s">
        <v>302</v>
      </c>
      <c r="E11" s="54">
        <v>330</v>
      </c>
    </row>
    <row r="12" spans="2:5" ht="18.75">
      <c r="B12" s="37">
        <v>3</v>
      </c>
      <c r="C12" s="36" t="s">
        <v>431</v>
      </c>
      <c r="D12" s="37" t="s">
        <v>302</v>
      </c>
      <c r="E12" s="65">
        <v>150</v>
      </c>
    </row>
  </sheetData>
  <sheetProtection/>
  <mergeCells count="5">
    <mergeCell ref="B9:E9"/>
    <mergeCell ref="D2:E2"/>
    <mergeCell ref="D3:E3"/>
    <mergeCell ref="D4:E4"/>
    <mergeCell ref="B6:E6"/>
  </mergeCells>
  <printOptions/>
  <pageMargins left="0.16" right="0.21" top="0.28" bottom="0.75" header="0.16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C2" sqref="C2:E4"/>
    </sheetView>
  </sheetViews>
  <sheetFormatPr defaultColWidth="9.00390625" defaultRowHeight="12.75"/>
  <cols>
    <col min="1" max="1" width="2.875" style="31" customWidth="1"/>
    <col min="2" max="2" width="4.625" style="74" customWidth="1"/>
    <col min="3" max="3" width="54.00390625" style="31" customWidth="1"/>
    <col min="4" max="4" width="10.00390625" style="74" customWidth="1"/>
    <col min="5" max="5" width="24.125" style="74" customWidth="1"/>
    <col min="6" max="16384" width="9.125" style="31" customWidth="1"/>
  </cols>
  <sheetData>
    <row r="1" ht="9" customHeight="1"/>
    <row r="2" spans="3:5" ht="21.75" customHeight="1">
      <c r="C2" s="432"/>
      <c r="D2" s="432"/>
      <c r="E2" s="432"/>
    </row>
    <row r="3" spans="3:5" ht="21.75" customHeight="1">
      <c r="C3" s="386"/>
      <c r="D3" s="386"/>
      <c r="E3" s="386"/>
    </row>
    <row r="4" spans="3:5" ht="21.75" customHeight="1">
      <c r="C4" s="386"/>
      <c r="D4" s="386"/>
      <c r="E4" s="386"/>
    </row>
    <row r="5" ht="21.75" customHeight="1"/>
    <row r="6" spans="2:9" ht="26.25" customHeight="1">
      <c r="B6" s="382" t="s">
        <v>216</v>
      </c>
      <c r="C6" s="382"/>
      <c r="D6" s="382"/>
      <c r="E6" s="382"/>
      <c r="F6" s="44"/>
      <c r="G6" s="44"/>
      <c r="H6" s="44"/>
      <c r="I6" s="44"/>
    </row>
    <row r="8" spans="2:5" ht="37.5" customHeight="1">
      <c r="B8" s="38" t="s">
        <v>104</v>
      </c>
      <c r="C8" s="41" t="s">
        <v>133</v>
      </c>
      <c r="D8" s="38" t="s">
        <v>134</v>
      </c>
      <c r="E8" s="38" t="s">
        <v>135</v>
      </c>
    </row>
    <row r="9" spans="2:5" ht="18.75">
      <c r="B9" s="433" t="s">
        <v>268</v>
      </c>
      <c r="C9" s="433"/>
      <c r="D9" s="433"/>
      <c r="E9" s="433"/>
    </row>
    <row r="10" spans="2:5" ht="18.75">
      <c r="B10" s="37">
        <v>1</v>
      </c>
      <c r="C10" s="36" t="s">
        <v>269</v>
      </c>
      <c r="D10" s="37" t="s">
        <v>235</v>
      </c>
      <c r="E10" s="54">
        <v>3.5</v>
      </c>
    </row>
    <row r="11" spans="2:5" ht="18.75">
      <c r="B11" s="37">
        <v>2</v>
      </c>
      <c r="C11" s="36" t="s">
        <v>270</v>
      </c>
      <c r="D11" s="37" t="s">
        <v>235</v>
      </c>
      <c r="E11" s="54">
        <v>3.5</v>
      </c>
    </row>
    <row r="12" spans="2:5" ht="18.75">
      <c r="B12" s="37">
        <v>3</v>
      </c>
      <c r="C12" s="36" t="s">
        <v>271</v>
      </c>
      <c r="D12" s="37" t="s">
        <v>235</v>
      </c>
      <c r="E12" s="54">
        <v>3.5</v>
      </c>
    </row>
    <row r="13" spans="2:5" ht="18.75">
      <c r="B13" s="37">
        <v>4</v>
      </c>
      <c r="C13" s="36" t="s">
        <v>272</v>
      </c>
      <c r="D13" s="37" t="s">
        <v>235</v>
      </c>
      <c r="E13" s="54">
        <v>4.5</v>
      </c>
    </row>
    <row r="14" spans="2:5" ht="18.75">
      <c r="B14" s="37">
        <v>5</v>
      </c>
      <c r="C14" s="36" t="s">
        <v>273</v>
      </c>
      <c r="D14" s="37" t="s">
        <v>235</v>
      </c>
      <c r="E14" s="54">
        <v>4</v>
      </c>
    </row>
    <row r="15" spans="2:5" ht="18.75">
      <c r="B15" s="37">
        <v>6</v>
      </c>
      <c r="C15" s="36" t="s">
        <v>274</v>
      </c>
      <c r="D15" s="37" t="s">
        <v>235</v>
      </c>
      <c r="E15" s="54">
        <v>3.5</v>
      </c>
    </row>
    <row r="16" spans="2:5" ht="18.75">
      <c r="B16" s="37">
        <v>7</v>
      </c>
      <c r="C16" s="234" t="s">
        <v>406</v>
      </c>
      <c r="D16" s="37" t="s">
        <v>235</v>
      </c>
      <c r="E16" s="54">
        <v>4.5</v>
      </c>
    </row>
    <row r="17" spans="2:5" ht="18.75">
      <c r="B17" s="37">
        <v>8</v>
      </c>
      <c r="C17" s="36" t="s">
        <v>275</v>
      </c>
      <c r="D17" s="37" t="s">
        <v>235</v>
      </c>
      <c r="E17" s="54">
        <v>3.5</v>
      </c>
    </row>
    <row r="18" spans="2:5" ht="18.75">
      <c r="B18" s="37">
        <v>9</v>
      </c>
      <c r="C18" s="234" t="s">
        <v>407</v>
      </c>
      <c r="D18" s="37" t="s">
        <v>235</v>
      </c>
      <c r="E18" s="54">
        <v>4.5</v>
      </c>
    </row>
    <row r="19" spans="2:5" ht="18.75">
      <c r="B19" s="37">
        <v>10</v>
      </c>
      <c r="C19" s="36" t="s">
        <v>276</v>
      </c>
      <c r="D19" s="37" t="s">
        <v>235</v>
      </c>
      <c r="E19" s="54">
        <v>3.5</v>
      </c>
    </row>
    <row r="20" spans="2:5" ht="18.75">
      <c r="B20" s="37">
        <v>11</v>
      </c>
      <c r="C20" s="234" t="s">
        <v>408</v>
      </c>
      <c r="D20" s="37" t="s">
        <v>235</v>
      </c>
      <c r="E20" s="54">
        <v>3.5</v>
      </c>
    </row>
    <row r="21" spans="2:5" ht="18.75">
      <c r="B21" s="37">
        <v>12</v>
      </c>
      <c r="C21" s="36" t="s">
        <v>277</v>
      </c>
      <c r="D21" s="37" t="s">
        <v>235</v>
      </c>
      <c r="E21" s="54">
        <v>5</v>
      </c>
    </row>
    <row r="22" spans="2:5" ht="18.75">
      <c r="B22" s="37">
        <v>13</v>
      </c>
      <c r="C22" s="36" t="s">
        <v>278</v>
      </c>
      <c r="D22" s="37" t="s">
        <v>235</v>
      </c>
      <c r="E22" s="54">
        <v>3.5</v>
      </c>
    </row>
    <row r="23" spans="2:5" ht="18.75">
      <c r="B23" s="37">
        <v>14</v>
      </c>
      <c r="C23" s="36" t="s">
        <v>279</v>
      </c>
      <c r="D23" s="37" t="s">
        <v>235</v>
      </c>
      <c r="E23" s="54">
        <v>2.5</v>
      </c>
    </row>
    <row r="24" spans="2:5" ht="18.75">
      <c r="B24" s="37">
        <v>15</v>
      </c>
      <c r="C24" s="36" t="s">
        <v>280</v>
      </c>
      <c r="D24" s="37" t="s">
        <v>235</v>
      </c>
      <c r="E24" s="54">
        <v>5</v>
      </c>
    </row>
    <row r="25" spans="2:5" ht="18.75">
      <c r="B25" s="37">
        <v>16</v>
      </c>
      <c r="C25" s="36" t="s">
        <v>281</v>
      </c>
      <c r="D25" s="37" t="s">
        <v>235</v>
      </c>
      <c r="E25" s="54">
        <v>5</v>
      </c>
    </row>
    <row r="26" spans="2:5" ht="18.75">
      <c r="B26" s="37">
        <v>17</v>
      </c>
      <c r="C26" s="36" t="s">
        <v>282</v>
      </c>
      <c r="D26" s="37" t="s">
        <v>235</v>
      </c>
      <c r="E26" s="54">
        <v>5</v>
      </c>
    </row>
    <row r="27" spans="2:5" ht="18.75">
      <c r="B27" s="37">
        <v>18</v>
      </c>
      <c r="C27" s="84" t="s">
        <v>283</v>
      </c>
      <c r="D27" s="63" t="s">
        <v>235</v>
      </c>
      <c r="E27" s="219">
        <v>2.5</v>
      </c>
    </row>
    <row r="28" spans="2:5" ht="18.75">
      <c r="B28" s="37">
        <v>19</v>
      </c>
      <c r="C28" s="36" t="s">
        <v>284</v>
      </c>
      <c r="D28" s="37" t="s">
        <v>235</v>
      </c>
      <c r="E28" s="54">
        <v>3</v>
      </c>
    </row>
    <row r="29" spans="2:5" ht="18.75">
      <c r="B29" s="37">
        <v>20</v>
      </c>
      <c r="C29" s="36" t="s">
        <v>285</v>
      </c>
      <c r="D29" s="37" t="s">
        <v>235</v>
      </c>
      <c r="E29" s="54">
        <v>3.5</v>
      </c>
    </row>
    <row r="30" spans="2:5" ht="18.75">
      <c r="B30" s="37">
        <v>21</v>
      </c>
      <c r="C30" s="36" t="s">
        <v>286</v>
      </c>
      <c r="D30" s="37" t="s">
        <v>235</v>
      </c>
      <c r="E30" s="54">
        <v>2.5</v>
      </c>
    </row>
    <row r="31" spans="2:5" ht="18.75">
      <c r="B31" s="37">
        <v>22</v>
      </c>
      <c r="C31" s="36" t="s">
        <v>287</v>
      </c>
      <c r="D31" s="37" t="s">
        <v>235</v>
      </c>
      <c r="E31" s="54">
        <v>5</v>
      </c>
    </row>
    <row r="32" spans="2:5" ht="18.75">
      <c r="B32" s="37">
        <v>23</v>
      </c>
      <c r="C32" s="36" t="s">
        <v>288</v>
      </c>
      <c r="D32" s="37" t="s">
        <v>235</v>
      </c>
      <c r="E32" s="54">
        <v>5</v>
      </c>
    </row>
    <row r="33" spans="2:5" ht="18.75">
      <c r="B33" s="37">
        <v>24</v>
      </c>
      <c r="C33" s="36" t="s">
        <v>289</v>
      </c>
      <c r="D33" s="37" t="s">
        <v>235</v>
      </c>
      <c r="E33" s="54">
        <v>5</v>
      </c>
    </row>
    <row r="34" spans="2:5" ht="18.75">
      <c r="B34" s="37">
        <v>25</v>
      </c>
      <c r="C34" s="36" t="s">
        <v>290</v>
      </c>
      <c r="D34" s="37" t="s">
        <v>235</v>
      </c>
      <c r="E34" s="54">
        <v>3.5</v>
      </c>
    </row>
    <row r="35" spans="2:5" ht="18.75">
      <c r="B35" s="37">
        <v>26</v>
      </c>
      <c r="C35" s="36" t="s">
        <v>291</v>
      </c>
      <c r="D35" s="37" t="s">
        <v>235</v>
      </c>
      <c r="E35" s="54">
        <v>3.5</v>
      </c>
    </row>
    <row r="36" spans="2:5" ht="18.75">
      <c r="B36" s="37">
        <v>27</v>
      </c>
      <c r="C36" s="36" t="s">
        <v>292</v>
      </c>
      <c r="D36" s="37" t="s">
        <v>235</v>
      </c>
      <c r="E36" s="54">
        <v>3.5</v>
      </c>
    </row>
    <row r="37" spans="2:5" ht="18.75">
      <c r="B37" s="37">
        <v>28</v>
      </c>
      <c r="C37" s="36" t="s">
        <v>293</v>
      </c>
      <c r="D37" s="37" t="s">
        <v>235</v>
      </c>
      <c r="E37" s="54">
        <v>4.5</v>
      </c>
    </row>
    <row r="38" spans="2:5" ht="18.75">
      <c r="B38" s="37">
        <v>29</v>
      </c>
      <c r="C38" s="36" t="s">
        <v>294</v>
      </c>
      <c r="D38" s="37" t="s">
        <v>235</v>
      </c>
      <c r="E38" s="54">
        <v>3.5</v>
      </c>
    </row>
    <row r="39" spans="2:5" ht="18.75">
      <c r="B39" s="37">
        <v>30</v>
      </c>
      <c r="C39" s="92" t="s">
        <v>366</v>
      </c>
      <c r="D39" s="37" t="s">
        <v>235</v>
      </c>
      <c r="E39" s="54">
        <v>3.5</v>
      </c>
    </row>
    <row r="40" spans="2:5" ht="18.75">
      <c r="B40" s="37">
        <v>31</v>
      </c>
      <c r="C40" s="92" t="s">
        <v>367</v>
      </c>
      <c r="D40" s="37" t="s">
        <v>235</v>
      </c>
      <c r="E40" s="54">
        <v>3.5</v>
      </c>
    </row>
    <row r="41" spans="2:5" ht="18.75">
      <c r="B41" s="37">
        <v>32</v>
      </c>
      <c r="C41" s="36" t="s">
        <v>295</v>
      </c>
      <c r="D41" s="37" t="s">
        <v>235</v>
      </c>
      <c r="E41" s="54">
        <v>4.5</v>
      </c>
    </row>
    <row r="42" spans="2:5" ht="18.75">
      <c r="B42" s="37">
        <v>33</v>
      </c>
      <c r="C42" s="36" t="s">
        <v>296</v>
      </c>
      <c r="D42" s="37" t="s">
        <v>235</v>
      </c>
      <c r="E42" s="54">
        <v>5.5</v>
      </c>
    </row>
    <row r="43" spans="2:5" ht="18.75">
      <c r="B43" s="37">
        <v>34</v>
      </c>
      <c r="C43" s="36" t="s">
        <v>297</v>
      </c>
      <c r="D43" s="37" t="s">
        <v>235</v>
      </c>
      <c r="E43" s="54">
        <v>3.5</v>
      </c>
    </row>
    <row r="44" spans="2:5" ht="18.75">
      <c r="B44" s="37">
        <v>35</v>
      </c>
      <c r="C44" s="36" t="s">
        <v>298</v>
      </c>
      <c r="D44" s="37" t="s">
        <v>235</v>
      </c>
      <c r="E44" s="54">
        <v>4.5</v>
      </c>
    </row>
    <row r="45" spans="2:5" ht="18.75">
      <c r="B45" s="37">
        <v>36</v>
      </c>
      <c r="C45" s="36" t="s">
        <v>299</v>
      </c>
      <c r="D45" s="37" t="s">
        <v>235</v>
      </c>
      <c r="E45" s="54">
        <v>3.5</v>
      </c>
    </row>
  </sheetData>
  <sheetProtection/>
  <mergeCells count="5">
    <mergeCell ref="B6:E6"/>
    <mergeCell ref="C2:E2"/>
    <mergeCell ref="C3:E3"/>
    <mergeCell ref="C4:E4"/>
    <mergeCell ref="B9:E9"/>
  </mergeCells>
  <printOptions/>
  <pageMargins left="0.16" right="0.21" top="0.26" bottom="0.29" header="0.16" footer="0.1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54"/>
  <sheetViews>
    <sheetView zoomScalePageLayoutView="0" workbookViewId="0" topLeftCell="A1">
      <selection activeCell="C2" sqref="C2:E4"/>
    </sheetView>
  </sheetViews>
  <sheetFormatPr defaultColWidth="9.00390625" defaultRowHeight="12.75"/>
  <cols>
    <col min="1" max="1" width="2.875" style="31" customWidth="1"/>
    <col min="2" max="2" width="5.00390625" style="74" customWidth="1"/>
    <col min="3" max="3" width="54.25390625" style="31" customWidth="1"/>
    <col min="4" max="4" width="9.875" style="74" customWidth="1"/>
    <col min="5" max="5" width="25.25390625" style="74" customWidth="1"/>
    <col min="6" max="16384" width="9.125" style="31" customWidth="1"/>
  </cols>
  <sheetData>
    <row r="1" ht="9" customHeight="1"/>
    <row r="2" spans="3:5" ht="24" customHeight="1">
      <c r="C2" s="432"/>
      <c r="D2" s="432"/>
      <c r="E2" s="432"/>
    </row>
    <row r="3" spans="3:5" ht="21" customHeight="1">
      <c r="C3" s="386"/>
      <c r="D3" s="386"/>
      <c r="E3" s="386"/>
    </row>
    <row r="4" spans="3:5" ht="18.75" customHeight="1">
      <c r="C4" s="386"/>
      <c r="D4" s="386"/>
      <c r="E4" s="386"/>
    </row>
    <row r="5" spans="4:5" ht="18.75" customHeight="1">
      <c r="D5" s="35"/>
      <c r="E5" s="35"/>
    </row>
    <row r="6" spans="2:9" ht="26.25" customHeight="1">
      <c r="B6" s="382" t="s">
        <v>216</v>
      </c>
      <c r="C6" s="382"/>
      <c r="D6" s="382"/>
      <c r="E6" s="382"/>
      <c r="F6" s="44"/>
      <c r="G6" s="44"/>
      <c r="H6" s="44"/>
      <c r="I6" s="44"/>
    </row>
    <row r="8" spans="2:5" ht="37.5" customHeight="1">
      <c r="B8" s="38" t="s">
        <v>104</v>
      </c>
      <c r="C8" s="41" t="s">
        <v>133</v>
      </c>
      <c r="D8" s="38" t="s">
        <v>134</v>
      </c>
      <c r="E8" s="38" t="s">
        <v>135</v>
      </c>
    </row>
    <row r="9" spans="2:5" ht="18.75">
      <c r="B9" s="433" t="s">
        <v>304</v>
      </c>
      <c r="C9" s="433"/>
      <c r="D9" s="433"/>
      <c r="E9" s="433"/>
    </row>
    <row r="10" spans="2:5" ht="18.75">
      <c r="B10" s="79">
        <v>1</v>
      </c>
      <c r="C10" s="80" t="s">
        <v>379</v>
      </c>
      <c r="D10" s="79" t="s">
        <v>235</v>
      </c>
      <c r="E10" s="93">
        <v>6</v>
      </c>
    </row>
    <row r="11" spans="2:5" ht="18.75">
      <c r="B11" s="79">
        <v>2</v>
      </c>
      <c r="C11" s="80" t="s">
        <v>305</v>
      </c>
      <c r="D11" s="79" t="s">
        <v>235</v>
      </c>
      <c r="E11" s="93">
        <v>6</v>
      </c>
    </row>
    <row r="12" spans="2:5" ht="18.75">
      <c r="B12" s="79">
        <v>3</v>
      </c>
      <c r="C12" s="36" t="s">
        <v>306</v>
      </c>
      <c r="D12" s="37" t="s">
        <v>235</v>
      </c>
      <c r="E12" s="54">
        <v>7</v>
      </c>
    </row>
    <row r="13" spans="2:5" ht="18.75">
      <c r="B13" s="79">
        <v>4</v>
      </c>
      <c r="C13" s="36" t="s">
        <v>432</v>
      </c>
      <c r="D13" s="37" t="s">
        <v>235</v>
      </c>
      <c r="E13" s="54">
        <v>5</v>
      </c>
    </row>
    <row r="14" spans="2:5" ht="18.75">
      <c r="B14" s="79">
        <v>5</v>
      </c>
      <c r="C14" s="36" t="s">
        <v>433</v>
      </c>
      <c r="D14" s="37" t="s">
        <v>235</v>
      </c>
      <c r="E14" s="54">
        <v>5</v>
      </c>
    </row>
    <row r="15" spans="2:5" ht="18.75">
      <c r="B15" s="79">
        <v>6</v>
      </c>
      <c r="C15" s="36" t="s">
        <v>307</v>
      </c>
      <c r="D15" s="37" t="s">
        <v>235</v>
      </c>
      <c r="E15" s="54">
        <v>5</v>
      </c>
    </row>
    <row r="16" spans="2:5" ht="18.75">
      <c r="B16" s="79">
        <v>7</v>
      </c>
      <c r="C16" s="36" t="s">
        <v>249</v>
      </c>
      <c r="D16" s="37" t="s">
        <v>235</v>
      </c>
      <c r="E16" s="54">
        <v>13</v>
      </c>
    </row>
    <row r="17" spans="2:5" ht="18.75">
      <c r="B17" s="79">
        <v>8</v>
      </c>
      <c r="C17" s="234" t="s">
        <v>412</v>
      </c>
      <c r="D17" s="37" t="s">
        <v>235</v>
      </c>
      <c r="E17" s="54">
        <v>13</v>
      </c>
    </row>
    <row r="18" spans="2:5" ht="18.75">
      <c r="B18" s="79">
        <v>9</v>
      </c>
      <c r="C18" s="234" t="s">
        <v>418</v>
      </c>
      <c r="D18" s="37" t="s">
        <v>235</v>
      </c>
      <c r="E18" s="54">
        <v>13</v>
      </c>
    </row>
    <row r="19" spans="2:6" ht="18.75">
      <c r="B19" s="79">
        <v>10</v>
      </c>
      <c r="C19" s="36" t="s">
        <v>308</v>
      </c>
      <c r="D19" s="37" t="s">
        <v>235</v>
      </c>
      <c r="E19" s="54">
        <v>5</v>
      </c>
      <c r="F19" s="31" t="s">
        <v>309</v>
      </c>
    </row>
    <row r="20" spans="2:5" ht="18.75">
      <c r="B20" s="79">
        <v>11</v>
      </c>
      <c r="C20" s="36" t="s">
        <v>288</v>
      </c>
      <c r="D20" s="37" t="s">
        <v>235</v>
      </c>
      <c r="E20" s="54">
        <v>6.5</v>
      </c>
    </row>
    <row r="21" spans="2:5" ht="18.75">
      <c r="B21" s="79">
        <v>12</v>
      </c>
      <c r="C21" s="36" t="s">
        <v>424</v>
      </c>
      <c r="D21" s="37" t="s">
        <v>235</v>
      </c>
      <c r="E21" s="54">
        <v>8.5</v>
      </c>
    </row>
    <row r="22" spans="2:5" ht="18.75">
      <c r="B22" s="79">
        <v>13</v>
      </c>
      <c r="C22" s="92" t="s">
        <v>416</v>
      </c>
      <c r="D22" s="37" t="s">
        <v>235</v>
      </c>
      <c r="E22" s="54">
        <v>9</v>
      </c>
    </row>
    <row r="23" spans="2:5" ht="18.75">
      <c r="B23" s="79">
        <v>14</v>
      </c>
      <c r="C23" s="92" t="s">
        <v>419</v>
      </c>
      <c r="D23" s="37" t="s">
        <v>235</v>
      </c>
      <c r="E23" s="54">
        <v>9</v>
      </c>
    </row>
    <row r="24" spans="2:5" ht="18.75">
      <c r="B24" s="79">
        <v>15</v>
      </c>
      <c r="C24" s="36" t="s">
        <v>310</v>
      </c>
      <c r="D24" s="37" t="s">
        <v>235</v>
      </c>
      <c r="E24" s="54">
        <v>7</v>
      </c>
    </row>
    <row r="25" spans="2:5" ht="18.75">
      <c r="B25" s="79">
        <v>16</v>
      </c>
      <c r="C25" s="91" t="s">
        <v>291</v>
      </c>
      <c r="D25" s="37" t="s">
        <v>235</v>
      </c>
      <c r="E25" s="54">
        <v>6</v>
      </c>
    </row>
    <row r="26" spans="2:5" ht="18.75">
      <c r="B26" s="79">
        <v>17</v>
      </c>
      <c r="C26" s="91" t="s">
        <v>368</v>
      </c>
      <c r="D26" s="37" t="s">
        <v>235</v>
      </c>
      <c r="E26" s="54">
        <v>7</v>
      </c>
    </row>
    <row r="27" spans="2:5" ht="18.75">
      <c r="B27" s="79">
        <v>18</v>
      </c>
      <c r="C27" s="234" t="s">
        <v>409</v>
      </c>
      <c r="D27" s="37" t="s">
        <v>235</v>
      </c>
      <c r="E27" s="54">
        <v>8</v>
      </c>
    </row>
    <row r="28" spans="2:5" ht="18.75">
      <c r="B28" s="79">
        <v>19</v>
      </c>
      <c r="C28" s="91" t="s">
        <v>292</v>
      </c>
      <c r="D28" s="37" t="s">
        <v>235</v>
      </c>
      <c r="E28" s="54">
        <v>7</v>
      </c>
    </row>
    <row r="29" spans="2:5" ht="18.75">
      <c r="B29" s="79">
        <v>20</v>
      </c>
      <c r="C29" s="91" t="s">
        <v>369</v>
      </c>
      <c r="D29" s="37" t="s">
        <v>235</v>
      </c>
      <c r="E29" s="54">
        <v>7</v>
      </c>
    </row>
    <row r="30" spans="2:5" ht="18.75">
      <c r="B30" s="79">
        <v>21</v>
      </c>
      <c r="C30" s="91" t="s">
        <v>370</v>
      </c>
      <c r="D30" s="37" t="s">
        <v>235</v>
      </c>
      <c r="E30" s="54">
        <v>8</v>
      </c>
    </row>
    <row r="31" spans="2:5" ht="18.75">
      <c r="B31" s="79">
        <v>22</v>
      </c>
      <c r="C31" s="91" t="s">
        <v>371</v>
      </c>
      <c r="D31" s="37" t="s">
        <v>235</v>
      </c>
      <c r="E31" s="54">
        <v>7</v>
      </c>
    </row>
    <row r="32" spans="2:5" ht="18.75">
      <c r="B32" s="79">
        <v>23</v>
      </c>
      <c r="C32" s="91" t="s">
        <v>372</v>
      </c>
      <c r="D32" s="37" t="s">
        <v>235</v>
      </c>
      <c r="E32" s="54">
        <v>8</v>
      </c>
    </row>
    <row r="33" spans="2:5" ht="18.75">
      <c r="B33" s="79">
        <v>24</v>
      </c>
      <c r="C33" s="91" t="s">
        <v>373</v>
      </c>
      <c r="D33" s="37" t="s">
        <v>235</v>
      </c>
      <c r="E33" s="54">
        <v>8</v>
      </c>
    </row>
    <row r="34" spans="2:5" ht="18.75">
      <c r="B34" s="79">
        <v>25</v>
      </c>
      <c r="C34" s="234" t="s">
        <v>411</v>
      </c>
      <c r="D34" s="37" t="s">
        <v>235</v>
      </c>
      <c r="E34" s="54">
        <v>7</v>
      </c>
    </row>
    <row r="35" spans="2:5" ht="18.75">
      <c r="B35" s="79">
        <v>26</v>
      </c>
      <c r="C35" s="234" t="s">
        <v>417</v>
      </c>
      <c r="D35" s="37" t="s">
        <v>235</v>
      </c>
      <c r="E35" s="54">
        <v>9</v>
      </c>
    </row>
    <row r="36" spans="2:5" ht="18.75">
      <c r="B36" s="79">
        <v>27</v>
      </c>
      <c r="C36" s="234" t="s">
        <v>420</v>
      </c>
      <c r="D36" s="37" t="s">
        <v>235</v>
      </c>
      <c r="E36" s="54">
        <v>8</v>
      </c>
    </row>
    <row r="37" spans="2:5" ht="18.75">
      <c r="B37" s="79">
        <v>28</v>
      </c>
      <c r="C37" s="92" t="s">
        <v>311</v>
      </c>
      <c r="D37" s="37" t="s">
        <v>235</v>
      </c>
      <c r="E37" s="54">
        <v>5</v>
      </c>
    </row>
    <row r="38" spans="2:5" ht="18.75">
      <c r="B38" s="79">
        <v>29</v>
      </c>
      <c r="C38" s="92" t="s">
        <v>375</v>
      </c>
      <c r="D38" s="37" t="s">
        <v>235</v>
      </c>
      <c r="E38" s="54">
        <v>7</v>
      </c>
    </row>
    <row r="39" spans="2:5" ht="18.75">
      <c r="B39" s="79">
        <v>30</v>
      </c>
      <c r="C39" s="92" t="s">
        <v>434</v>
      </c>
      <c r="D39" s="37" t="s">
        <v>235</v>
      </c>
      <c r="E39" s="54">
        <v>6</v>
      </c>
    </row>
    <row r="40" spans="2:5" ht="18.75">
      <c r="B40" s="79">
        <v>31</v>
      </c>
      <c r="C40" s="92" t="s">
        <v>374</v>
      </c>
      <c r="D40" s="37" t="s">
        <v>235</v>
      </c>
      <c r="E40" s="54">
        <v>16</v>
      </c>
    </row>
    <row r="41" spans="2:5" ht="18.75">
      <c r="B41" s="79">
        <v>32</v>
      </c>
      <c r="C41" s="234" t="s">
        <v>413</v>
      </c>
      <c r="D41" s="37" t="s">
        <v>235</v>
      </c>
      <c r="E41" s="54">
        <v>8</v>
      </c>
    </row>
    <row r="42" spans="2:5" ht="37.5" customHeight="1">
      <c r="B42" s="38" t="s">
        <v>104</v>
      </c>
      <c r="C42" s="41" t="s">
        <v>133</v>
      </c>
      <c r="D42" s="38" t="s">
        <v>134</v>
      </c>
      <c r="E42" s="38" t="s">
        <v>135</v>
      </c>
    </row>
    <row r="43" spans="2:5" ht="18.75">
      <c r="B43" s="79">
        <v>33</v>
      </c>
      <c r="C43" s="92" t="s">
        <v>264</v>
      </c>
      <c r="D43" s="37" t="s">
        <v>235</v>
      </c>
      <c r="E43" s="54">
        <v>6.5</v>
      </c>
    </row>
    <row r="44" spans="2:5" ht="18.75">
      <c r="B44" s="79">
        <v>34</v>
      </c>
      <c r="C44" s="92" t="s">
        <v>376</v>
      </c>
      <c r="D44" s="37" t="s">
        <v>235</v>
      </c>
      <c r="E44" s="54">
        <v>7.5</v>
      </c>
    </row>
    <row r="45" spans="2:5" ht="18.75">
      <c r="B45" s="79">
        <v>35</v>
      </c>
      <c r="C45" s="234" t="s">
        <v>410</v>
      </c>
      <c r="D45" s="37" t="s">
        <v>235</v>
      </c>
      <c r="E45" s="54">
        <v>9</v>
      </c>
    </row>
    <row r="46" spans="2:5" ht="18.75">
      <c r="B46" s="79">
        <v>36</v>
      </c>
      <c r="C46" s="36" t="s">
        <v>266</v>
      </c>
      <c r="D46" s="37" t="s">
        <v>235</v>
      </c>
      <c r="E46" s="54">
        <v>9</v>
      </c>
    </row>
    <row r="47" spans="2:5" ht="18.75">
      <c r="B47" s="79">
        <v>37</v>
      </c>
      <c r="C47" s="234" t="s">
        <v>414</v>
      </c>
      <c r="D47" s="37" t="s">
        <v>235</v>
      </c>
      <c r="E47" s="54">
        <v>9</v>
      </c>
    </row>
    <row r="48" spans="2:5" ht="18.75">
      <c r="B48" s="79">
        <v>38</v>
      </c>
      <c r="C48" s="234" t="s">
        <v>415</v>
      </c>
      <c r="D48" s="37" t="s">
        <v>235</v>
      </c>
      <c r="E48" s="54">
        <v>9</v>
      </c>
    </row>
    <row r="49" spans="2:5" ht="18.75">
      <c r="B49" s="79">
        <v>39</v>
      </c>
      <c r="C49" s="36" t="s">
        <v>312</v>
      </c>
      <c r="D49" s="37" t="s">
        <v>235</v>
      </c>
      <c r="E49" s="54">
        <v>9</v>
      </c>
    </row>
    <row r="50" spans="2:5" ht="18.75">
      <c r="B50" s="79">
        <v>40</v>
      </c>
      <c r="C50" s="92" t="s">
        <v>377</v>
      </c>
      <c r="D50" s="37" t="s">
        <v>235</v>
      </c>
      <c r="E50" s="54">
        <v>12</v>
      </c>
    </row>
    <row r="51" spans="2:5" ht="18.75">
      <c r="B51" s="79">
        <v>41</v>
      </c>
      <c r="C51" s="92" t="s">
        <v>378</v>
      </c>
      <c r="D51" s="37" t="s">
        <v>235</v>
      </c>
      <c r="E51" s="54">
        <v>6</v>
      </c>
    </row>
    <row r="52" spans="2:5" ht="18.75">
      <c r="B52" s="79">
        <v>42</v>
      </c>
      <c r="C52" s="36" t="s">
        <v>313</v>
      </c>
      <c r="D52" s="37" t="s">
        <v>235</v>
      </c>
      <c r="E52" s="54">
        <v>9</v>
      </c>
    </row>
    <row r="53" spans="2:5" ht="18.75">
      <c r="B53" s="79">
        <v>43</v>
      </c>
      <c r="C53" s="36" t="s">
        <v>314</v>
      </c>
      <c r="D53" s="37" t="s">
        <v>235</v>
      </c>
      <c r="E53" s="54">
        <v>6</v>
      </c>
    </row>
    <row r="54" spans="2:5" ht="18.75">
      <c r="B54" s="79">
        <v>44</v>
      </c>
      <c r="C54" s="234" t="s">
        <v>421</v>
      </c>
      <c r="D54" s="37" t="s">
        <v>235</v>
      </c>
      <c r="E54" s="65">
        <v>6</v>
      </c>
    </row>
  </sheetData>
  <sheetProtection/>
  <mergeCells count="5">
    <mergeCell ref="B9:E9"/>
    <mergeCell ref="B6:E6"/>
    <mergeCell ref="C2:E2"/>
    <mergeCell ref="C3:E3"/>
    <mergeCell ref="C4:E4"/>
  </mergeCells>
  <printOptions/>
  <pageMargins left="0.15748031496062992" right="0.2362204724409449" top="0.1968503937007874" bottom="0.7480314960629921" header="0.15748031496062992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14"/>
  <sheetViews>
    <sheetView zoomScalePageLayoutView="0" workbookViewId="0" topLeftCell="A1">
      <selection activeCell="C2" sqref="C2:F4"/>
    </sheetView>
  </sheetViews>
  <sheetFormatPr defaultColWidth="9.00390625" defaultRowHeight="12.75"/>
  <cols>
    <col min="1" max="1" width="1.75390625" style="31" customWidth="1"/>
    <col min="2" max="2" width="4.625" style="31" customWidth="1"/>
    <col min="3" max="3" width="49.25390625" style="31" customWidth="1"/>
    <col min="4" max="4" width="9.875" style="31" customWidth="1"/>
    <col min="5" max="5" width="14.625" style="31" customWidth="1"/>
    <col min="6" max="6" width="19.25390625" style="31" customWidth="1"/>
    <col min="7" max="16384" width="9.125" style="31" customWidth="1"/>
  </cols>
  <sheetData>
    <row r="2" spans="3:6" ht="18.75">
      <c r="C2" s="432"/>
      <c r="D2" s="432"/>
      <c r="E2" s="432"/>
      <c r="F2" s="432"/>
    </row>
    <row r="3" spans="3:6" ht="18.75">
      <c r="C3" s="386"/>
      <c r="D3" s="386"/>
      <c r="E3" s="386"/>
      <c r="F3" s="386"/>
    </row>
    <row r="4" spans="3:6" ht="18.75">
      <c r="C4" s="386"/>
      <c r="D4" s="386"/>
      <c r="E4" s="386"/>
      <c r="F4" s="386"/>
    </row>
    <row r="5" spans="3:6" ht="18.75">
      <c r="C5" s="81"/>
      <c r="D5" s="81"/>
      <c r="E5" s="81"/>
      <c r="F5" s="81"/>
    </row>
    <row r="6" spans="3:6" ht="18.75">
      <c r="C6" s="81"/>
      <c r="D6" s="81"/>
      <c r="E6" s="81"/>
      <c r="F6" s="81"/>
    </row>
    <row r="7" spans="2:9" ht="31.5" customHeight="1">
      <c r="B7" s="434" t="s">
        <v>315</v>
      </c>
      <c r="C7" s="434"/>
      <c r="D7" s="434"/>
      <c r="E7" s="434"/>
      <c r="F7" s="434"/>
      <c r="G7" s="44"/>
      <c r="H7" s="44"/>
      <c r="I7" s="44"/>
    </row>
    <row r="9" spans="2:6" ht="39" customHeight="1">
      <c r="B9" s="435" t="s">
        <v>104</v>
      </c>
      <c r="C9" s="393" t="s">
        <v>133</v>
      </c>
      <c r="D9" s="435" t="s">
        <v>134</v>
      </c>
      <c r="E9" s="409" t="s">
        <v>135</v>
      </c>
      <c r="F9" s="410"/>
    </row>
    <row r="10" spans="2:6" ht="57.75" customHeight="1">
      <c r="B10" s="436"/>
      <c r="C10" s="394"/>
      <c r="D10" s="436"/>
      <c r="E10" s="38" t="s">
        <v>435</v>
      </c>
      <c r="F10" s="242" t="s">
        <v>436</v>
      </c>
    </row>
    <row r="11" spans="2:6" ht="27.75" customHeight="1">
      <c r="B11" s="45">
        <v>1</v>
      </c>
      <c r="C11" s="42" t="s">
        <v>316</v>
      </c>
      <c r="D11" s="33" t="s">
        <v>317</v>
      </c>
      <c r="E11" s="226">
        <v>0.11</v>
      </c>
      <c r="F11" s="229">
        <v>0.2</v>
      </c>
    </row>
    <row r="12" spans="2:6" ht="35.25" customHeight="1">
      <c r="B12" s="45">
        <v>2</v>
      </c>
      <c r="C12" s="42" t="s">
        <v>316</v>
      </c>
      <c r="D12" s="45" t="s">
        <v>318</v>
      </c>
      <c r="E12" s="49">
        <v>105</v>
      </c>
      <c r="F12" s="229">
        <v>200</v>
      </c>
    </row>
    <row r="13" spans="3:5" ht="18.75">
      <c r="C13" s="46"/>
      <c r="D13" s="47"/>
      <c r="E13" s="48"/>
    </row>
    <row r="14" spans="3:5" ht="18.75">
      <c r="C14" s="46"/>
      <c r="D14" s="47"/>
      <c r="E14" s="48"/>
    </row>
  </sheetData>
  <sheetProtection/>
  <mergeCells count="8">
    <mergeCell ref="C2:F2"/>
    <mergeCell ref="C3:F3"/>
    <mergeCell ref="C4:F4"/>
    <mergeCell ref="B7:F7"/>
    <mergeCell ref="E9:F9"/>
    <mergeCell ref="B9:B10"/>
    <mergeCell ref="C9:C10"/>
    <mergeCell ref="D9:D10"/>
  </mergeCells>
  <printOptions/>
  <pageMargins left="0.24" right="0.21" top="0.32" bottom="0.75" header="0.16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PageLayoutView="0" workbookViewId="0" topLeftCell="A1">
      <selection activeCell="I14" sqref="I14:J14"/>
    </sheetView>
  </sheetViews>
  <sheetFormatPr defaultColWidth="9.00390625" defaultRowHeight="12.75"/>
  <cols>
    <col min="1" max="1" width="3.625" style="50" customWidth="1"/>
    <col min="2" max="2" width="6.00390625" style="50" customWidth="1"/>
    <col min="3" max="3" width="40.00390625" style="50" customWidth="1"/>
    <col min="4" max="4" width="11.75390625" style="50" customWidth="1"/>
    <col min="5" max="5" width="32.25390625" style="50" customWidth="1"/>
    <col min="6" max="6" width="6.625" style="50" customWidth="1"/>
    <col min="7" max="7" width="45.00390625" style="50" customWidth="1"/>
    <col min="8" max="8" width="12.625" style="50" customWidth="1"/>
    <col min="9" max="9" width="21.00390625" style="50" customWidth="1"/>
    <col min="10" max="10" width="22.625" style="50" customWidth="1"/>
    <col min="11" max="11" width="5.625" style="50" customWidth="1"/>
    <col min="12" max="16384" width="9.125" style="50" customWidth="1"/>
  </cols>
  <sheetData>
    <row r="2" spans="3:12" ht="18.75">
      <c r="C2" s="432"/>
      <c r="D2" s="432"/>
      <c r="E2" s="432"/>
      <c r="G2" s="432"/>
      <c r="H2" s="432"/>
      <c r="I2" s="432"/>
      <c r="J2" s="432"/>
      <c r="K2" s="235"/>
      <c r="L2" s="235"/>
    </row>
    <row r="3" spans="3:12" ht="18.75">
      <c r="C3" s="386"/>
      <c r="D3" s="386"/>
      <c r="E3" s="386"/>
      <c r="G3" s="386"/>
      <c r="H3" s="386"/>
      <c r="I3" s="386"/>
      <c r="J3" s="386"/>
      <c r="K3" s="81"/>
      <c r="L3" s="81"/>
    </row>
    <row r="4" spans="3:12" ht="18.75">
      <c r="C4" s="386"/>
      <c r="D4" s="386"/>
      <c r="E4" s="386"/>
      <c r="G4" s="386"/>
      <c r="H4" s="386"/>
      <c r="I4" s="386"/>
      <c r="J4" s="386"/>
      <c r="K4" s="81"/>
      <c r="L4" s="81"/>
    </row>
    <row r="5" spans="4:5" ht="18.75">
      <c r="D5" s="74"/>
      <c r="E5" s="74"/>
    </row>
    <row r="6" spans="2:12" ht="63" customHeight="1">
      <c r="B6" s="437" t="s">
        <v>319</v>
      </c>
      <c r="C6" s="437"/>
      <c r="D6" s="437"/>
      <c r="E6" s="437"/>
      <c r="G6" s="437" t="s">
        <v>425</v>
      </c>
      <c r="H6" s="437"/>
      <c r="I6" s="437"/>
      <c r="J6" s="437"/>
      <c r="K6" s="238"/>
      <c r="L6" s="238"/>
    </row>
    <row r="7" spans="7:10" ht="20.25" customHeight="1">
      <c r="G7" s="237"/>
      <c r="H7" s="237"/>
      <c r="I7" s="237"/>
      <c r="J7" s="237"/>
    </row>
    <row r="8" spans="2:10" ht="46.5" customHeight="1">
      <c r="B8" s="32" t="s">
        <v>104</v>
      </c>
      <c r="C8" s="90" t="s">
        <v>143</v>
      </c>
      <c r="D8" s="90" t="s">
        <v>320</v>
      </c>
      <c r="E8" s="51" t="s">
        <v>321</v>
      </c>
      <c r="G8" s="51" t="s">
        <v>143</v>
      </c>
      <c r="H8" s="51" t="s">
        <v>320</v>
      </c>
      <c r="I8" s="51" t="s">
        <v>135</v>
      </c>
      <c r="J8" s="51" t="s">
        <v>426</v>
      </c>
    </row>
    <row r="9" spans="2:10" ht="30.75" customHeight="1">
      <c r="B9" s="79">
        <v>1</v>
      </c>
      <c r="C9" s="86" t="s">
        <v>322</v>
      </c>
      <c r="D9" s="79" t="s">
        <v>323</v>
      </c>
      <c r="E9" s="86"/>
      <c r="G9" s="220" t="s">
        <v>322</v>
      </c>
      <c r="H9" s="239" t="s">
        <v>323</v>
      </c>
      <c r="I9" s="220"/>
      <c r="J9" s="220"/>
    </row>
    <row r="10" spans="2:10" ht="33.75" customHeight="1">
      <c r="B10" s="79">
        <v>2</v>
      </c>
      <c r="C10" s="86" t="s">
        <v>324</v>
      </c>
      <c r="D10" s="86"/>
      <c r="E10" s="93">
        <v>6</v>
      </c>
      <c r="G10" s="220" t="s">
        <v>324</v>
      </c>
      <c r="H10" s="220"/>
      <c r="I10" s="240">
        <v>7.5</v>
      </c>
      <c r="J10" s="240">
        <v>9</v>
      </c>
    </row>
    <row r="11" spans="2:10" ht="36.75" customHeight="1">
      <c r="B11" s="79">
        <v>3</v>
      </c>
      <c r="C11" s="86" t="s">
        <v>325</v>
      </c>
      <c r="D11" s="86"/>
      <c r="E11" s="93">
        <v>7</v>
      </c>
      <c r="G11" s="220" t="s">
        <v>325</v>
      </c>
      <c r="H11" s="220"/>
      <c r="I11" s="240">
        <v>8.34</v>
      </c>
      <c r="J11" s="240">
        <v>10</v>
      </c>
    </row>
    <row r="12" spans="2:10" ht="39.75" customHeight="1">
      <c r="B12" s="79">
        <v>4</v>
      </c>
      <c r="C12" s="86" t="s">
        <v>326</v>
      </c>
      <c r="D12" s="86"/>
      <c r="E12" s="93">
        <v>10</v>
      </c>
      <c r="G12" s="220" t="s">
        <v>326</v>
      </c>
      <c r="H12" s="220"/>
      <c r="I12" s="240">
        <v>11.67</v>
      </c>
      <c r="J12" s="240">
        <v>14</v>
      </c>
    </row>
    <row r="13" spans="2:5" ht="24.75" customHeight="1">
      <c r="B13" s="79">
        <v>5</v>
      </c>
      <c r="C13" s="86" t="s">
        <v>327</v>
      </c>
      <c r="D13" s="86"/>
      <c r="E13" s="93">
        <v>13</v>
      </c>
    </row>
    <row r="14" spans="2:10" ht="24.75" customHeight="1">
      <c r="B14" s="79">
        <v>6</v>
      </c>
      <c r="C14" s="86" t="s">
        <v>328</v>
      </c>
      <c r="D14" s="86"/>
      <c r="E14" s="93">
        <v>21</v>
      </c>
      <c r="I14" s="319"/>
      <c r="J14" s="319"/>
    </row>
    <row r="15" spans="2:5" ht="22.5" customHeight="1">
      <c r="B15" s="79">
        <v>7</v>
      </c>
      <c r="C15" s="86" t="s">
        <v>329</v>
      </c>
      <c r="D15" s="86"/>
      <c r="E15" s="93">
        <v>40</v>
      </c>
    </row>
    <row r="16" spans="2:5" ht="24.75" customHeight="1">
      <c r="B16" s="79">
        <v>8</v>
      </c>
      <c r="C16" s="86" t="s">
        <v>330</v>
      </c>
      <c r="D16" s="86"/>
      <c r="E16" s="93">
        <v>50</v>
      </c>
    </row>
    <row r="17" spans="2:5" ht="24.75" customHeight="1">
      <c r="B17" s="79">
        <v>9</v>
      </c>
      <c r="C17" s="86" t="s">
        <v>331</v>
      </c>
      <c r="D17" s="86"/>
      <c r="E17" s="93">
        <v>80</v>
      </c>
    </row>
    <row r="18" spans="2:5" ht="24.75" customHeight="1">
      <c r="B18" s="79">
        <v>10</v>
      </c>
      <c r="C18" s="86" t="s">
        <v>332</v>
      </c>
      <c r="D18" s="86"/>
      <c r="E18" s="93">
        <v>105</v>
      </c>
    </row>
    <row r="19" spans="2:5" ht="24.75" customHeight="1">
      <c r="B19" s="79">
        <v>11</v>
      </c>
      <c r="C19" s="86" t="s">
        <v>333</v>
      </c>
      <c r="D19" s="86"/>
      <c r="E19" s="93">
        <v>170</v>
      </c>
    </row>
    <row r="20" spans="2:5" ht="24.75" customHeight="1">
      <c r="B20" s="79">
        <v>12</v>
      </c>
      <c r="C20" s="86" t="s">
        <v>334</v>
      </c>
      <c r="D20" s="86"/>
      <c r="E20" s="93">
        <v>190</v>
      </c>
    </row>
    <row r="21" spans="3:5" ht="18.75">
      <c r="C21" s="87"/>
      <c r="D21" s="78"/>
      <c r="E21" s="88"/>
    </row>
  </sheetData>
  <sheetProtection/>
  <mergeCells count="9">
    <mergeCell ref="I14:J14"/>
    <mergeCell ref="B6:E6"/>
    <mergeCell ref="C2:E2"/>
    <mergeCell ref="C3:E3"/>
    <mergeCell ref="C4:E4"/>
    <mergeCell ref="G6:J6"/>
    <mergeCell ref="G2:J2"/>
    <mergeCell ref="G3:J3"/>
    <mergeCell ref="G4:J4"/>
  </mergeCells>
  <printOptions/>
  <pageMargins left="0.17" right="0.21" top="0.35" bottom="0.75" header="0.16" footer="0.3"/>
  <pageSetup horizontalDpi="600" verticalDpi="600" orientation="portrait" paperSize="9" scale="95" r:id="rId1"/>
  <colBreaks count="2" manualBreakCount="2">
    <brk id="10" max="29" man="1"/>
    <brk id="1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58"/>
  <sheetViews>
    <sheetView zoomScale="130" zoomScaleNormal="130" zoomScaleSheetLayoutView="110" zoomScalePageLayoutView="0" workbookViewId="0" topLeftCell="A1">
      <selection activeCell="E4" sqref="E4"/>
    </sheetView>
  </sheetViews>
  <sheetFormatPr defaultColWidth="9.00390625" defaultRowHeight="12.75"/>
  <cols>
    <col min="1" max="1" width="6.00390625" style="50" customWidth="1"/>
    <col min="2" max="2" width="9.625" style="50" customWidth="1"/>
    <col min="3" max="3" width="12.75390625" style="50" customWidth="1"/>
    <col min="4" max="4" width="15.00390625" style="50" customWidth="1"/>
    <col min="5" max="5" width="17.75390625" style="50" customWidth="1"/>
    <col min="6" max="6" width="15.00390625" style="50" customWidth="1"/>
    <col min="7" max="7" width="24.875" style="50" customWidth="1"/>
    <col min="8" max="8" width="6.625" style="50" customWidth="1"/>
    <col min="9" max="9" width="9.00390625" style="50" customWidth="1"/>
    <col min="10" max="16384" width="9.125" style="50" customWidth="1"/>
  </cols>
  <sheetData>
    <row r="1" spans="4:8" ht="18.75">
      <c r="D1" s="96"/>
      <c r="E1" s="96"/>
      <c r="F1" s="287"/>
      <c r="G1" s="287"/>
      <c r="H1" s="96"/>
    </row>
    <row r="2" spans="4:8" ht="18.75" customHeight="1">
      <c r="D2" s="96"/>
      <c r="E2" s="318"/>
      <c r="F2" s="318"/>
      <c r="G2" s="318"/>
      <c r="H2" s="96"/>
    </row>
    <row r="3" spans="4:8" ht="18.75" customHeight="1">
      <c r="D3" s="96"/>
      <c r="E3" s="96"/>
      <c r="F3" s="96"/>
      <c r="G3" s="96"/>
      <c r="H3" s="96"/>
    </row>
    <row r="4" spans="4:8" ht="18.75" customHeight="1">
      <c r="D4" s="96"/>
      <c r="E4" s="96"/>
      <c r="F4" s="319"/>
      <c r="G4" s="319"/>
      <c r="H4" s="96"/>
    </row>
    <row r="5" spans="4:8" ht="18.75">
      <c r="D5" s="96"/>
      <c r="E5" s="96"/>
      <c r="F5" s="286"/>
      <c r="G5" s="286"/>
      <c r="H5" s="96"/>
    </row>
    <row r="6" spans="1:8" s="110" customFormat="1" ht="21" customHeight="1">
      <c r="A6" s="27"/>
      <c r="B6" s="289" t="s">
        <v>203</v>
      </c>
      <c r="C6" s="289"/>
      <c r="D6" s="289"/>
      <c r="E6" s="289"/>
      <c r="F6" s="289"/>
      <c r="G6" s="289"/>
      <c r="H6" s="28"/>
    </row>
    <row r="7" spans="1:8" s="113" customFormat="1" ht="21" customHeight="1">
      <c r="A7" s="111"/>
      <c r="B7" s="290" t="s">
        <v>86</v>
      </c>
      <c r="C7" s="290"/>
      <c r="D7" s="290"/>
      <c r="E7" s="290"/>
      <c r="F7" s="290"/>
      <c r="G7" s="290"/>
      <c r="H7" s="112"/>
    </row>
    <row r="8" spans="1:8" s="110" customFormat="1" ht="21" customHeight="1">
      <c r="A8" s="114"/>
      <c r="B8" s="291" t="s">
        <v>90</v>
      </c>
      <c r="C8" s="291"/>
      <c r="D8" s="291"/>
      <c r="E8" s="291"/>
      <c r="F8" s="291"/>
      <c r="G8" s="291"/>
      <c r="H8" s="30"/>
    </row>
    <row r="9" spans="1:8" s="110" customFormat="1" ht="21" customHeight="1" thickBot="1">
      <c r="A9" s="114"/>
      <c r="B9" s="277" t="s">
        <v>89</v>
      </c>
      <c r="C9" s="277"/>
      <c r="D9" s="277"/>
      <c r="E9" s="278"/>
      <c r="F9" s="278"/>
      <c r="G9" s="278"/>
      <c r="H9" s="115"/>
    </row>
    <row r="10" spans="1:8" ht="41.25" customHeight="1">
      <c r="A10" s="116"/>
      <c r="B10" s="312" t="s">
        <v>3</v>
      </c>
      <c r="C10" s="298" t="s">
        <v>211</v>
      </c>
      <c r="D10" s="300" t="s">
        <v>4</v>
      </c>
      <c r="E10" s="283" t="s">
        <v>381</v>
      </c>
      <c r="F10" s="284"/>
      <c r="G10" s="285"/>
      <c r="H10" s="98"/>
    </row>
    <row r="11" spans="1:8" s="119" customFormat="1" ht="39.75" customHeight="1" thickBot="1">
      <c r="A11" s="117"/>
      <c r="B11" s="313"/>
      <c r="C11" s="299"/>
      <c r="D11" s="301"/>
      <c r="E11" s="175" t="s">
        <v>91</v>
      </c>
      <c r="F11" s="175" t="s">
        <v>92</v>
      </c>
      <c r="G11" s="176" t="s">
        <v>93</v>
      </c>
      <c r="H11" s="118"/>
    </row>
    <row r="12" spans="2:8" s="120" customFormat="1" ht="18.75" customHeight="1">
      <c r="B12" s="281" t="s">
        <v>2</v>
      </c>
      <c r="C12" s="281"/>
      <c r="D12" s="281"/>
      <c r="E12" s="278"/>
      <c r="F12" s="278"/>
      <c r="G12" s="278"/>
      <c r="H12" s="121"/>
    </row>
    <row r="13" spans="2:8" s="120" customFormat="1" ht="68.25" customHeight="1" thickBot="1">
      <c r="B13" s="288" t="s">
        <v>204</v>
      </c>
      <c r="C13" s="288"/>
      <c r="D13" s="288"/>
      <c r="E13" s="288"/>
      <c r="F13" s="288"/>
      <c r="G13" s="288"/>
      <c r="H13" s="121"/>
    </row>
    <row r="14" spans="2:8" ht="18.75">
      <c r="B14" s="315" t="s">
        <v>39</v>
      </c>
      <c r="C14" s="294" t="s">
        <v>16</v>
      </c>
      <c r="D14" s="122">
        <v>1</v>
      </c>
      <c r="E14" s="124">
        <f>(27.1*2.5%)+27.1</f>
        <v>27.7775</v>
      </c>
      <c r="F14" s="125">
        <f>(43.2*2.5%)+43.2</f>
        <v>44.28</v>
      </c>
      <c r="G14" s="126">
        <f>(67.8*2.5%)+67.8</f>
        <v>69.49499999999999</v>
      </c>
      <c r="H14" s="127"/>
    </row>
    <row r="15" spans="2:8" ht="18.75">
      <c r="B15" s="316"/>
      <c r="C15" s="295"/>
      <c r="D15" s="128">
        <v>2</v>
      </c>
      <c r="E15" s="129">
        <f>(22.6*2.5%)+22.6</f>
        <v>23.165000000000003</v>
      </c>
      <c r="F15" s="130">
        <f>(36*2.5%)+36</f>
        <v>36.9</v>
      </c>
      <c r="G15" s="131">
        <f>(56.5*2.5%)+56.5</f>
        <v>57.9125</v>
      </c>
      <c r="H15" s="132"/>
    </row>
    <row r="16" spans="2:8" ht="18.75">
      <c r="B16" s="316"/>
      <c r="C16" s="296"/>
      <c r="D16" s="133">
        <v>3</v>
      </c>
      <c r="E16" s="134">
        <f>(18.1*2.5%)+18.1</f>
        <v>18.552500000000002</v>
      </c>
      <c r="F16" s="135">
        <f>(28.8*2.5%)+28.8</f>
        <v>29.52</v>
      </c>
      <c r="G16" s="136">
        <f>(45.2*2.5%)+45.2</f>
        <v>46.330000000000005</v>
      </c>
      <c r="H16" s="127"/>
    </row>
    <row r="17" spans="2:8" ht="18.75">
      <c r="B17" s="316"/>
      <c r="C17" s="297" t="s">
        <v>18</v>
      </c>
      <c r="D17" s="137">
        <v>1</v>
      </c>
      <c r="E17" s="138">
        <f>(34.9*2.5%)+34.9</f>
        <v>35.7725</v>
      </c>
      <c r="F17" s="139">
        <f>(54*2.5%)+54</f>
        <v>55.35</v>
      </c>
      <c r="G17" s="140">
        <f>(80.4*2.5%)+80.4</f>
        <v>82.41000000000001</v>
      </c>
      <c r="H17" s="127"/>
    </row>
    <row r="18" spans="2:8" ht="18.75">
      <c r="B18" s="316"/>
      <c r="C18" s="295"/>
      <c r="D18" s="137">
        <v>2</v>
      </c>
      <c r="E18" s="129">
        <f>(29.1*2.5%)+29.1</f>
        <v>29.8275</v>
      </c>
      <c r="F18" s="130">
        <f>(45*2.5%)+45</f>
        <v>46.125</v>
      </c>
      <c r="G18" s="131">
        <f>(67*2.5%)+67</f>
        <v>68.675</v>
      </c>
      <c r="H18" s="132"/>
    </row>
    <row r="19" spans="2:8" ht="18.75">
      <c r="B19" s="316"/>
      <c r="C19" s="296"/>
      <c r="D19" s="141">
        <v>3</v>
      </c>
      <c r="E19" s="134">
        <f>(23.3*2.5%)+23.3</f>
        <v>23.8825</v>
      </c>
      <c r="F19" s="135">
        <f>(36*2.5%)+36</f>
        <v>36.9</v>
      </c>
      <c r="G19" s="136">
        <f>(53.6*2.5%)+53.6</f>
        <v>54.940000000000005</v>
      </c>
      <c r="H19" s="127"/>
    </row>
    <row r="20" spans="2:8" ht="18.75">
      <c r="B20" s="316"/>
      <c r="C20" s="297" t="s">
        <v>19</v>
      </c>
      <c r="D20" s="137">
        <v>1</v>
      </c>
      <c r="E20" s="138">
        <f>(45.4*2.5%)+45.4</f>
        <v>46.535</v>
      </c>
      <c r="F20" s="139">
        <f>(69.8*2.5%)+69.8</f>
        <v>71.545</v>
      </c>
      <c r="G20" s="140">
        <f>(104.4*2.5%)+104.4</f>
        <v>107.01</v>
      </c>
      <c r="H20" s="127"/>
    </row>
    <row r="21" spans="2:8" ht="18.75">
      <c r="B21" s="316"/>
      <c r="C21" s="295"/>
      <c r="D21" s="137">
        <v>2</v>
      </c>
      <c r="E21" s="129">
        <f>(37.8*2.5%)+37.8</f>
        <v>38.745</v>
      </c>
      <c r="F21" s="130">
        <f>(58.2*2.5%)+58.2</f>
        <v>59.655</v>
      </c>
      <c r="G21" s="131">
        <f>(87*2.5%)+87</f>
        <v>89.175</v>
      </c>
      <c r="H21" s="132"/>
    </row>
    <row r="22" spans="2:8" ht="18.75">
      <c r="B22" s="316"/>
      <c r="C22" s="296"/>
      <c r="D22" s="141">
        <v>3</v>
      </c>
      <c r="E22" s="134">
        <f>(30.2*2.5%)+30.2</f>
        <v>30.955</v>
      </c>
      <c r="F22" s="135">
        <f>(46.6*2.5%)+46.6</f>
        <v>47.765</v>
      </c>
      <c r="G22" s="136">
        <f>(69.9*2.5%)+69.9</f>
        <v>71.64750000000001</v>
      </c>
      <c r="H22" s="127"/>
    </row>
    <row r="23" spans="2:8" ht="18.75">
      <c r="B23" s="316"/>
      <c r="C23" s="321" t="s">
        <v>13</v>
      </c>
      <c r="D23" s="137">
        <v>1</v>
      </c>
      <c r="E23" s="138">
        <f>(60.1*2.5%)+60.1</f>
        <v>61.6025</v>
      </c>
      <c r="F23" s="139">
        <f>(89.4*2.5%)+89.4</f>
        <v>91.635</v>
      </c>
      <c r="G23" s="140">
        <f>(128.4*2.5%)+128.4</f>
        <v>131.61</v>
      </c>
      <c r="H23" s="127"/>
    </row>
    <row r="24" spans="2:8" ht="18.75">
      <c r="B24" s="316"/>
      <c r="C24" s="322"/>
      <c r="D24" s="137">
        <v>2</v>
      </c>
      <c r="E24" s="129">
        <f>(50.1*2.5%)+50.1</f>
        <v>51.3525</v>
      </c>
      <c r="F24" s="130">
        <f>(74.5*2.5%)+74.5</f>
        <v>76.3625</v>
      </c>
      <c r="G24" s="131">
        <f>(107*2.5%)+107</f>
        <v>109.675</v>
      </c>
      <c r="H24" s="132"/>
    </row>
    <row r="25" spans="2:8" ht="19.5" thickBot="1">
      <c r="B25" s="317"/>
      <c r="C25" s="303"/>
      <c r="D25" s="142">
        <v>3</v>
      </c>
      <c r="E25" s="143">
        <f>(40.1*2.5%)+40.1</f>
        <v>41.1025</v>
      </c>
      <c r="F25" s="144">
        <f>(59.6*2.5%)+59.6</f>
        <v>61.09</v>
      </c>
      <c r="G25" s="145">
        <f>(85.6*2.5%)+85.6</f>
        <v>87.74</v>
      </c>
      <c r="H25" s="127"/>
    </row>
    <row r="26" spans="1:8" ht="19.5">
      <c r="A26" s="146"/>
      <c r="B26" s="282" t="s">
        <v>205</v>
      </c>
      <c r="C26" s="282"/>
      <c r="D26" s="282"/>
      <c r="E26" s="282"/>
      <c r="F26" s="282"/>
      <c r="G26" s="282"/>
      <c r="H26" s="147"/>
    </row>
    <row r="27" spans="1:8" ht="20.25" thickBot="1">
      <c r="A27" s="146"/>
      <c r="B27" s="279" t="s">
        <v>27</v>
      </c>
      <c r="C27" s="279"/>
      <c r="D27" s="279"/>
      <c r="E27" s="279"/>
      <c r="F27" s="279"/>
      <c r="G27" s="279"/>
      <c r="H27" s="147"/>
    </row>
    <row r="28" spans="2:8" ht="18.75">
      <c r="B28" s="275" t="s">
        <v>28</v>
      </c>
      <c r="C28" s="302" t="s">
        <v>13</v>
      </c>
      <c r="D28" s="148" t="s">
        <v>22</v>
      </c>
      <c r="E28" s="125">
        <f>(65.3*2.5%)+65.3</f>
        <v>66.93249999999999</v>
      </c>
      <c r="F28" s="149">
        <f>(78.7*2.5%)+78.7</f>
        <v>80.6675</v>
      </c>
      <c r="G28" s="150">
        <f>(110.4*2.5%)+110.4</f>
        <v>113.16000000000001</v>
      </c>
      <c r="H28" s="127"/>
    </row>
    <row r="29" spans="2:8" ht="18.75">
      <c r="B29" s="314"/>
      <c r="C29" s="322"/>
      <c r="D29" s="151" t="s">
        <v>23</v>
      </c>
      <c r="E29" s="130">
        <f>(54.4*2.5%)+54.4</f>
        <v>55.76</v>
      </c>
      <c r="F29" s="152">
        <f>(65.6*2.5%)+65.6</f>
        <v>67.24</v>
      </c>
      <c r="G29" s="153">
        <f>(92*2.5%)+92</f>
        <v>94.3</v>
      </c>
      <c r="H29" s="132"/>
    </row>
    <row r="30" spans="2:8" ht="19.5" thickBot="1">
      <c r="B30" s="276"/>
      <c r="C30" s="303"/>
      <c r="D30" s="154" t="s">
        <v>29</v>
      </c>
      <c r="E30" s="144">
        <f>(43.5*2.5%)+43.5</f>
        <v>44.5875</v>
      </c>
      <c r="F30" s="155">
        <f>(52.5*2.5%)+52.5</f>
        <v>53.8125</v>
      </c>
      <c r="G30" s="156">
        <f>(73.6*2.5%)+73.6</f>
        <v>75.44</v>
      </c>
      <c r="H30" s="127"/>
    </row>
    <row r="31" spans="1:8" ht="19.5">
      <c r="A31" s="157"/>
      <c r="B31" s="282" t="s">
        <v>206</v>
      </c>
      <c r="C31" s="282"/>
      <c r="D31" s="282"/>
      <c r="E31" s="282"/>
      <c r="F31" s="282"/>
      <c r="G31" s="282"/>
      <c r="H31" s="75"/>
    </row>
    <row r="32" spans="1:8" ht="19.5">
      <c r="A32" s="146"/>
      <c r="B32" s="279" t="s">
        <v>94</v>
      </c>
      <c r="C32" s="279"/>
      <c r="D32" s="279"/>
      <c r="E32" s="279"/>
      <c r="F32" s="279"/>
      <c r="G32" s="279"/>
      <c r="H32" s="147"/>
    </row>
    <row r="33" spans="2:8" ht="18.75">
      <c r="B33" s="309" t="s">
        <v>8</v>
      </c>
      <c r="C33" s="297" t="s">
        <v>32</v>
      </c>
      <c r="D33" s="177" t="s">
        <v>22</v>
      </c>
      <c r="E33" s="139">
        <f>(26*2.5%)+26</f>
        <v>26.65</v>
      </c>
      <c r="F33" s="158">
        <f>(40.2*2.5%)+40.2</f>
        <v>41.205000000000005</v>
      </c>
      <c r="G33" s="178">
        <f>(56.4*2.5%)+56.4</f>
        <v>57.81</v>
      </c>
      <c r="H33" s="127"/>
    </row>
    <row r="34" spans="2:8" ht="18.75">
      <c r="B34" s="310"/>
      <c r="C34" s="295"/>
      <c r="D34" s="151" t="s">
        <v>23</v>
      </c>
      <c r="E34" s="130">
        <f>(21.7*2.5%)+21.7</f>
        <v>22.2425</v>
      </c>
      <c r="F34" s="152">
        <f>(33.5*2.5%)+33.5</f>
        <v>34.3375</v>
      </c>
      <c r="G34" s="179">
        <f>(47*2.5%)+47</f>
        <v>48.175</v>
      </c>
      <c r="H34" s="132"/>
    </row>
    <row r="35" spans="2:8" ht="18.75">
      <c r="B35" s="311"/>
      <c r="C35" s="296"/>
      <c r="D35" s="180" t="s">
        <v>29</v>
      </c>
      <c r="E35" s="135">
        <f>(17.4*2.5%)+17.4</f>
        <v>17.834999999999997</v>
      </c>
      <c r="F35" s="160">
        <f>(26.8*2.5%)+26.8</f>
        <v>27.470000000000002</v>
      </c>
      <c r="G35" s="181">
        <f>(37.6*2.5%)+37.6</f>
        <v>38.54</v>
      </c>
      <c r="H35" s="127"/>
    </row>
    <row r="36" spans="2:8" ht="18.75">
      <c r="B36" s="121"/>
      <c r="C36" s="173"/>
      <c r="D36" s="173"/>
      <c r="E36" s="129"/>
      <c r="F36" s="129"/>
      <c r="G36" s="129"/>
      <c r="H36" s="127"/>
    </row>
    <row r="37" spans="1:8" ht="41.25" customHeight="1">
      <c r="A37" s="116"/>
      <c r="B37" s="299" t="s">
        <v>3</v>
      </c>
      <c r="C37" s="299" t="s">
        <v>211</v>
      </c>
      <c r="D37" s="301" t="s">
        <v>4</v>
      </c>
      <c r="E37" s="283" t="s">
        <v>381</v>
      </c>
      <c r="F37" s="284"/>
      <c r="G37" s="285"/>
      <c r="H37" s="98"/>
    </row>
    <row r="38" spans="1:8" s="119" customFormat="1" ht="21.75" customHeight="1">
      <c r="A38" s="117"/>
      <c r="B38" s="299"/>
      <c r="C38" s="299"/>
      <c r="D38" s="304"/>
      <c r="E38" s="174" t="s">
        <v>91</v>
      </c>
      <c r="F38" s="175" t="s">
        <v>92</v>
      </c>
      <c r="G38" s="176" t="s">
        <v>93</v>
      </c>
      <c r="H38" s="118"/>
    </row>
    <row r="39" spans="1:8" ht="19.5">
      <c r="A39" s="157"/>
      <c r="B39" s="279" t="s">
        <v>207</v>
      </c>
      <c r="C39" s="279"/>
      <c r="D39" s="279"/>
      <c r="E39" s="279"/>
      <c r="F39" s="279"/>
      <c r="G39" s="279"/>
      <c r="H39" s="75"/>
    </row>
    <row r="40" spans="1:8" ht="20.25" thickBot="1">
      <c r="A40" s="146"/>
      <c r="B40" s="280" t="s">
        <v>95</v>
      </c>
      <c r="C40" s="280"/>
      <c r="D40" s="280"/>
      <c r="E40" s="280"/>
      <c r="F40" s="280"/>
      <c r="G40" s="280"/>
      <c r="H40" s="147"/>
    </row>
    <row r="41" spans="2:8" ht="18.75">
      <c r="B41" s="275" t="s">
        <v>84</v>
      </c>
      <c r="C41" s="302" t="s">
        <v>215</v>
      </c>
      <c r="D41" s="148" t="s">
        <v>22</v>
      </c>
      <c r="E41" s="125">
        <f>(62.8*2.5%)+62.8</f>
        <v>64.36999999999999</v>
      </c>
      <c r="F41" s="149">
        <f>(83.5*2.5%)+83.5</f>
        <v>85.5875</v>
      </c>
      <c r="G41" s="150">
        <f>(117.4*2.5%)+117.4</f>
        <v>120.33500000000001</v>
      </c>
      <c r="H41" s="127"/>
    </row>
    <row r="42" spans="2:8" ht="42.75" customHeight="1" thickBot="1">
      <c r="B42" s="276"/>
      <c r="C42" s="303"/>
      <c r="D42" s="154" t="s">
        <v>23</v>
      </c>
      <c r="E42" s="144">
        <f>(52.3*2.5%)+52.3</f>
        <v>53.607499999999995</v>
      </c>
      <c r="F42" s="155">
        <f>(69.6*2.5%)+69.6</f>
        <v>71.33999999999999</v>
      </c>
      <c r="G42" s="156">
        <f>(97.8*2.5%)+97.8</f>
        <v>100.245</v>
      </c>
      <c r="H42" s="132"/>
    </row>
    <row r="43" spans="1:8" ht="40.5" customHeight="1">
      <c r="A43" s="157"/>
      <c r="B43" s="281" t="s">
        <v>208</v>
      </c>
      <c r="C43" s="281"/>
      <c r="D43" s="281"/>
      <c r="E43" s="281"/>
      <c r="F43" s="281"/>
      <c r="G43" s="281"/>
      <c r="H43" s="75"/>
    </row>
    <row r="44" spans="1:8" ht="20.25" thickBot="1">
      <c r="A44" s="146"/>
      <c r="B44" s="280" t="s">
        <v>27</v>
      </c>
      <c r="C44" s="280"/>
      <c r="D44" s="280"/>
      <c r="E44" s="280"/>
      <c r="F44" s="280"/>
      <c r="G44" s="280"/>
      <c r="H44" s="147"/>
    </row>
    <row r="45" spans="2:8" ht="27" customHeight="1">
      <c r="B45" s="275" t="s">
        <v>37</v>
      </c>
      <c r="C45" s="294" t="s">
        <v>38</v>
      </c>
      <c r="D45" s="161" t="s">
        <v>23</v>
      </c>
      <c r="E45" s="307">
        <f>(16*2.5%)+16</f>
        <v>16.4</v>
      </c>
      <c r="F45" s="307">
        <f>(30.3*2.5%)+30.3</f>
        <v>31.0575</v>
      </c>
      <c r="G45" s="305">
        <f>(48*2.5%)+48</f>
        <v>49.2</v>
      </c>
      <c r="H45" s="162"/>
    </row>
    <row r="46" spans="2:8" ht="27" customHeight="1" thickBot="1">
      <c r="B46" s="276"/>
      <c r="C46" s="320"/>
      <c r="D46" s="163" t="s">
        <v>29</v>
      </c>
      <c r="E46" s="308"/>
      <c r="F46" s="308"/>
      <c r="G46" s="306"/>
      <c r="H46" s="162"/>
    </row>
    <row r="47" spans="1:8" ht="18.75">
      <c r="A47" s="157"/>
      <c r="B47" s="282" t="s">
        <v>41</v>
      </c>
      <c r="C47" s="282"/>
      <c r="D47" s="282"/>
      <c r="E47" s="282"/>
      <c r="F47" s="282"/>
      <c r="G47" s="282"/>
      <c r="H47" s="75"/>
    </row>
    <row r="48" spans="1:8" ht="38.25" customHeight="1" thickBot="1">
      <c r="A48" s="146"/>
      <c r="B48" s="277" t="s">
        <v>209</v>
      </c>
      <c r="C48" s="277"/>
      <c r="D48" s="277"/>
      <c r="E48" s="277"/>
      <c r="F48" s="277"/>
      <c r="G48" s="277"/>
      <c r="H48" s="147"/>
    </row>
    <row r="49" spans="2:8" ht="18.75">
      <c r="B49" s="275" t="s">
        <v>39</v>
      </c>
      <c r="C49" s="292" t="s">
        <v>40</v>
      </c>
      <c r="D49" s="122" t="s">
        <v>23</v>
      </c>
      <c r="E49" s="125">
        <f>(19.1*2.5%)+19.1</f>
        <v>19.5775</v>
      </c>
      <c r="F49" s="149">
        <f>(31*2.5%)+31</f>
        <v>31.775</v>
      </c>
      <c r="G49" s="150">
        <f>(48.1*2.5%)+48.1</f>
        <v>49.3025</v>
      </c>
      <c r="H49" s="132"/>
    </row>
    <row r="50" spans="2:8" ht="19.5" thickBot="1">
      <c r="B50" s="276"/>
      <c r="C50" s="293"/>
      <c r="D50" s="159" t="s">
        <v>29</v>
      </c>
      <c r="E50" s="164">
        <f>(15.3*2.5%)+15.3</f>
        <v>15.682500000000001</v>
      </c>
      <c r="F50" s="165">
        <f>(24.8*2.5%)+24.8</f>
        <v>25.42</v>
      </c>
      <c r="G50" s="166">
        <f>(38.5*2.5%)+38.5</f>
        <v>39.4625</v>
      </c>
      <c r="H50" s="127"/>
    </row>
    <row r="51" spans="1:8" ht="19.5">
      <c r="A51" s="157"/>
      <c r="B51" s="282" t="s">
        <v>210</v>
      </c>
      <c r="C51" s="282"/>
      <c r="D51" s="282"/>
      <c r="E51" s="282"/>
      <c r="F51" s="282"/>
      <c r="G51" s="282"/>
      <c r="H51" s="75"/>
    </row>
    <row r="52" spans="1:8" ht="20.25" thickBot="1">
      <c r="A52" s="146"/>
      <c r="B52" s="279" t="s">
        <v>100</v>
      </c>
      <c r="C52" s="279"/>
      <c r="D52" s="279"/>
      <c r="E52" s="279"/>
      <c r="F52" s="279"/>
      <c r="G52" s="279"/>
      <c r="H52" s="147"/>
    </row>
    <row r="53" spans="2:8" ht="51" customHeight="1" thickBot="1">
      <c r="B53" s="99" t="s">
        <v>81</v>
      </c>
      <c r="C53" s="167" t="s">
        <v>82</v>
      </c>
      <c r="D53" s="168"/>
      <c r="E53" s="169">
        <f>(13.2*2.5%)+13.2</f>
        <v>13.53</v>
      </c>
      <c r="F53" s="170">
        <f>(28.5*2.5%)+28.5</f>
        <v>29.2125</v>
      </c>
      <c r="G53" s="171">
        <f>(48*2.5%)+48</f>
        <v>49.2</v>
      </c>
      <c r="H53" s="162"/>
    </row>
    <row r="54" ht="18.75">
      <c r="G54" s="76"/>
    </row>
    <row r="55" spans="5:6" ht="18.75">
      <c r="E55" s="172"/>
      <c r="F55" s="172"/>
    </row>
    <row r="58" ht="18.75">
      <c r="G58" s="172"/>
    </row>
  </sheetData>
  <sheetProtection/>
  <mergeCells count="48">
    <mergeCell ref="E2:G2"/>
    <mergeCell ref="F4:G4"/>
    <mergeCell ref="B41:B42"/>
    <mergeCell ref="B45:B46"/>
    <mergeCell ref="C45:C46"/>
    <mergeCell ref="B32:G32"/>
    <mergeCell ref="B39:G39"/>
    <mergeCell ref="C23:C25"/>
    <mergeCell ref="C28:C30"/>
    <mergeCell ref="E45:E46"/>
    <mergeCell ref="G45:G46"/>
    <mergeCell ref="C33:C35"/>
    <mergeCell ref="F45:F46"/>
    <mergeCell ref="B33:B35"/>
    <mergeCell ref="B31:G31"/>
    <mergeCell ref="B10:B11"/>
    <mergeCell ref="B28:B30"/>
    <mergeCell ref="B14:B25"/>
    <mergeCell ref="B37:B38"/>
    <mergeCell ref="C37:C38"/>
    <mergeCell ref="C49:C50"/>
    <mergeCell ref="C14:C16"/>
    <mergeCell ref="C17:C19"/>
    <mergeCell ref="C20:C22"/>
    <mergeCell ref="C10:C11"/>
    <mergeCell ref="D10:D11"/>
    <mergeCell ref="C41:C42"/>
    <mergeCell ref="D37:D38"/>
    <mergeCell ref="F5:G5"/>
    <mergeCell ref="B27:G27"/>
    <mergeCell ref="F1:G1"/>
    <mergeCell ref="B13:G13"/>
    <mergeCell ref="B12:G12"/>
    <mergeCell ref="B26:G26"/>
    <mergeCell ref="B6:G6"/>
    <mergeCell ref="B7:G7"/>
    <mergeCell ref="B8:G8"/>
    <mergeCell ref="E10:G10"/>
    <mergeCell ref="B49:B50"/>
    <mergeCell ref="B9:G9"/>
    <mergeCell ref="B52:G52"/>
    <mergeCell ref="B40:G40"/>
    <mergeCell ref="B43:G43"/>
    <mergeCell ref="B44:G44"/>
    <mergeCell ref="B47:G47"/>
    <mergeCell ref="B48:G48"/>
    <mergeCell ref="B51:G51"/>
    <mergeCell ref="E37:G37"/>
  </mergeCells>
  <printOptions/>
  <pageMargins left="0.15748031496062992" right="0.15748031496062992" top="0.2362204724409449" bottom="0.1968503937007874" header="0.2362204724409449" footer="0.15748031496062992"/>
  <pageSetup horizontalDpi="600" verticalDpi="600" orientation="portrait" paperSize="9" r:id="rId1"/>
  <rowBreaks count="2" manualBreakCount="2">
    <brk id="36" max="6" man="1"/>
    <brk id="53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B2" sqref="B2:D4"/>
    </sheetView>
  </sheetViews>
  <sheetFormatPr defaultColWidth="9.00390625" defaultRowHeight="12.75"/>
  <cols>
    <col min="1" max="1" width="2.125" style="31" customWidth="1"/>
    <col min="2" max="2" width="49.75390625" style="31" customWidth="1"/>
    <col min="3" max="3" width="12.375" style="31" customWidth="1"/>
    <col min="4" max="4" width="30.125" style="31" customWidth="1"/>
    <col min="5" max="16384" width="9.125" style="31" customWidth="1"/>
  </cols>
  <sheetData>
    <row r="2" spans="2:4" ht="18.75">
      <c r="B2" s="432"/>
      <c r="C2" s="432"/>
      <c r="D2" s="432"/>
    </row>
    <row r="3" spans="2:4" ht="18.75">
      <c r="B3" s="386"/>
      <c r="C3" s="386"/>
      <c r="D3" s="386"/>
    </row>
    <row r="4" spans="2:4" ht="18.75">
      <c r="B4" s="386"/>
      <c r="C4" s="386"/>
      <c r="D4" s="386"/>
    </row>
    <row r="5" spans="3:4" ht="18.75">
      <c r="C5" s="74"/>
      <c r="D5" s="74"/>
    </row>
    <row r="6" spans="3:4" ht="18.75">
      <c r="C6" s="74"/>
      <c r="D6" s="74"/>
    </row>
    <row r="7" spans="2:8" ht="30.75" customHeight="1">
      <c r="B7" s="434" t="s">
        <v>337</v>
      </c>
      <c r="C7" s="434"/>
      <c r="D7" s="434"/>
      <c r="E7" s="44"/>
      <c r="F7" s="44"/>
      <c r="G7" s="44"/>
      <c r="H7" s="44"/>
    </row>
    <row r="9" spans="2:4" ht="48" customHeight="1">
      <c r="B9" s="33" t="s">
        <v>133</v>
      </c>
      <c r="C9" s="32" t="s">
        <v>134</v>
      </c>
      <c r="D9" s="38" t="s">
        <v>135</v>
      </c>
    </row>
    <row r="10" spans="2:4" ht="35.25" customHeight="1">
      <c r="B10" s="42" t="s">
        <v>338</v>
      </c>
      <c r="C10" s="45" t="s">
        <v>339</v>
      </c>
      <c r="D10" s="49">
        <v>0.46</v>
      </c>
    </row>
    <row r="11" spans="2:4" ht="18.75">
      <c r="B11" s="46"/>
      <c r="C11" s="47"/>
      <c r="D11" s="48"/>
    </row>
    <row r="12" spans="2:4" ht="18.75">
      <c r="B12" s="46"/>
      <c r="C12" s="47"/>
      <c r="D12" s="48"/>
    </row>
  </sheetData>
  <sheetProtection/>
  <mergeCells count="4">
    <mergeCell ref="B7:D7"/>
    <mergeCell ref="B2:D2"/>
    <mergeCell ref="B3:D3"/>
    <mergeCell ref="B4:D4"/>
  </mergeCells>
  <printOptions/>
  <pageMargins left="0.16" right="0.21" top="0.3" bottom="0.75" header="0.16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1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00390625" style="31" customWidth="1"/>
    <col min="2" max="2" width="4.625" style="31" customWidth="1"/>
    <col min="3" max="3" width="51.125" style="31" customWidth="1"/>
    <col min="4" max="4" width="8.875" style="31" customWidth="1"/>
    <col min="5" max="5" width="25.375" style="31" customWidth="1"/>
    <col min="6" max="16384" width="9.125" style="31" customWidth="1"/>
  </cols>
  <sheetData>
    <row r="2" spans="2:5" ht="18.75">
      <c r="B2" s="432"/>
      <c r="C2" s="432"/>
      <c r="D2" s="432"/>
      <c r="E2" s="432"/>
    </row>
    <row r="3" spans="2:5" ht="18.75">
      <c r="B3" s="386"/>
      <c r="C3" s="386"/>
      <c r="D3" s="386"/>
      <c r="E3" s="386"/>
    </row>
    <row r="4" spans="2:5" ht="18.75">
      <c r="B4" s="386"/>
      <c r="C4" s="386"/>
      <c r="D4" s="386"/>
      <c r="E4" s="386"/>
    </row>
    <row r="5" spans="3:4" ht="18.75">
      <c r="C5" s="74"/>
      <c r="D5" s="74"/>
    </row>
    <row r="8" spans="2:9" ht="44.25" customHeight="1">
      <c r="B8" s="434" t="s">
        <v>340</v>
      </c>
      <c r="C8" s="434"/>
      <c r="D8" s="434"/>
      <c r="E8" s="434"/>
      <c r="F8" s="44"/>
      <c r="G8" s="44"/>
      <c r="H8" s="44"/>
      <c r="I8" s="44"/>
    </row>
    <row r="10" spans="2:5" ht="48" customHeight="1">
      <c r="B10" s="32" t="s">
        <v>104</v>
      </c>
      <c r="C10" s="33" t="s">
        <v>133</v>
      </c>
      <c r="D10" s="32" t="s">
        <v>134</v>
      </c>
      <c r="E10" s="38" t="s">
        <v>135</v>
      </c>
    </row>
    <row r="11" spans="2:5" ht="35.25" customHeight="1">
      <c r="B11" s="45">
        <v>1</v>
      </c>
      <c r="C11" s="42" t="s">
        <v>341</v>
      </c>
      <c r="D11" s="45" t="s">
        <v>235</v>
      </c>
      <c r="E11" s="49">
        <v>0.7</v>
      </c>
    </row>
    <row r="12" spans="2:5" ht="35.25" customHeight="1">
      <c r="B12" s="45">
        <v>2</v>
      </c>
      <c r="C12" s="42" t="s">
        <v>342</v>
      </c>
      <c r="D12" s="45" t="s">
        <v>302</v>
      </c>
      <c r="E12" s="49">
        <v>5.5</v>
      </c>
    </row>
    <row r="13" spans="3:5" ht="18.75">
      <c r="C13" s="46"/>
      <c r="D13" s="47"/>
      <c r="E13" s="48"/>
    </row>
    <row r="14" spans="3:5" ht="18.75">
      <c r="C14" s="46"/>
      <c r="D14" s="47"/>
      <c r="E14" s="48"/>
    </row>
  </sheetData>
  <sheetProtection/>
  <mergeCells count="4">
    <mergeCell ref="B2:E2"/>
    <mergeCell ref="B3:E3"/>
    <mergeCell ref="B4:E4"/>
    <mergeCell ref="B8:E8"/>
  </mergeCells>
  <printOptions/>
  <pageMargins left="0.16" right="0.21" top="0.32" bottom="0.75" header="0.16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13">
      <selection activeCell="L9" sqref="L9"/>
    </sheetView>
  </sheetViews>
  <sheetFormatPr defaultColWidth="9.00390625" defaultRowHeight="12.75"/>
  <cols>
    <col min="1" max="1" width="3.125" style="50" customWidth="1"/>
    <col min="2" max="2" width="6.25390625" style="85" customWidth="1"/>
    <col min="3" max="3" width="25.125" style="50" customWidth="1"/>
    <col min="4" max="4" width="34.375" style="50" customWidth="1"/>
    <col min="5" max="5" width="11.375" style="50" customWidth="1"/>
    <col min="6" max="6" width="29.00390625" style="50" customWidth="1"/>
    <col min="7" max="16384" width="9.125" style="50" customWidth="1"/>
  </cols>
  <sheetData>
    <row r="2" spans="4:6" ht="18.75">
      <c r="D2" s="432"/>
      <c r="E2" s="432"/>
      <c r="F2" s="432"/>
    </row>
    <row r="3" spans="4:6" ht="18.75">
      <c r="D3" s="386"/>
      <c r="E3" s="386"/>
      <c r="F3" s="386"/>
    </row>
    <row r="4" spans="4:6" ht="18.75">
      <c r="D4" s="386"/>
      <c r="E4" s="386"/>
      <c r="F4" s="386"/>
    </row>
    <row r="5" spans="5:6" ht="18.75">
      <c r="E5" s="74"/>
      <c r="F5" s="74"/>
    </row>
    <row r="6" spans="2:6" ht="38.25" customHeight="1">
      <c r="B6" s="437" t="s">
        <v>362</v>
      </c>
      <c r="C6" s="437"/>
      <c r="D6" s="437"/>
      <c r="E6" s="437"/>
      <c r="F6" s="437"/>
    </row>
    <row r="8" spans="2:6" ht="44.25" customHeight="1">
      <c r="B8" s="90" t="s">
        <v>104</v>
      </c>
      <c r="C8" s="90" t="s">
        <v>343</v>
      </c>
      <c r="D8" s="90" t="s">
        <v>344</v>
      </c>
      <c r="E8" s="32" t="s">
        <v>134</v>
      </c>
      <c r="F8" s="51" t="s">
        <v>345</v>
      </c>
    </row>
    <row r="9" spans="2:6" ht="93.75" customHeight="1">
      <c r="B9" s="51">
        <v>1</v>
      </c>
      <c r="C9" s="52" t="s">
        <v>393</v>
      </c>
      <c r="D9" s="52" t="s">
        <v>346</v>
      </c>
      <c r="E9" s="51" t="s">
        <v>347</v>
      </c>
      <c r="F9" s="53">
        <v>75</v>
      </c>
    </row>
    <row r="10" spans="2:6" ht="94.5" customHeight="1">
      <c r="B10" s="51">
        <v>2</v>
      </c>
      <c r="C10" s="52" t="s">
        <v>348</v>
      </c>
      <c r="D10" s="52" t="s">
        <v>346</v>
      </c>
      <c r="E10" s="51" t="s">
        <v>347</v>
      </c>
      <c r="F10" s="53">
        <v>150</v>
      </c>
    </row>
    <row r="11" spans="2:6" ht="94.5" customHeight="1">
      <c r="B11" s="51">
        <v>3</v>
      </c>
      <c r="C11" s="52" t="s">
        <v>394</v>
      </c>
      <c r="D11" s="52" t="s">
        <v>346</v>
      </c>
      <c r="E11" s="51" t="s">
        <v>347</v>
      </c>
      <c r="F11" s="53">
        <v>65</v>
      </c>
    </row>
    <row r="12" spans="2:6" ht="94.5" customHeight="1">
      <c r="B12" s="51">
        <v>4</v>
      </c>
      <c r="C12" s="52" t="s">
        <v>395</v>
      </c>
      <c r="D12" s="52" t="s">
        <v>346</v>
      </c>
      <c r="E12" s="51" t="s">
        <v>347</v>
      </c>
      <c r="F12" s="53">
        <v>130</v>
      </c>
    </row>
    <row r="13" spans="2:6" ht="94.5" customHeight="1">
      <c r="B13" s="51">
        <v>5</v>
      </c>
      <c r="C13" s="52" t="s">
        <v>396</v>
      </c>
      <c r="D13" s="52" t="s">
        <v>346</v>
      </c>
      <c r="E13" s="51" t="s">
        <v>347</v>
      </c>
      <c r="F13" s="53">
        <v>75</v>
      </c>
    </row>
    <row r="14" spans="2:6" ht="94.5" customHeight="1">
      <c r="B14" s="51">
        <v>6</v>
      </c>
      <c r="C14" s="52" t="s">
        <v>397</v>
      </c>
      <c r="D14" s="52" t="s">
        <v>346</v>
      </c>
      <c r="E14" s="51" t="s">
        <v>347</v>
      </c>
      <c r="F14" s="53">
        <v>300</v>
      </c>
    </row>
    <row r="15" spans="2:6" ht="96.75" customHeight="1">
      <c r="B15" s="51">
        <v>7</v>
      </c>
      <c r="C15" s="52" t="s">
        <v>349</v>
      </c>
      <c r="D15" s="52" t="s">
        <v>346</v>
      </c>
      <c r="E15" s="51" t="s">
        <v>350</v>
      </c>
      <c r="F15" s="53">
        <v>20</v>
      </c>
    </row>
    <row r="16" spans="2:6" ht="44.25" customHeight="1">
      <c r="B16" s="90" t="s">
        <v>104</v>
      </c>
      <c r="C16" s="90" t="s">
        <v>343</v>
      </c>
      <c r="D16" s="90" t="s">
        <v>344</v>
      </c>
      <c r="E16" s="32" t="s">
        <v>134</v>
      </c>
      <c r="F16" s="51" t="s">
        <v>345</v>
      </c>
    </row>
    <row r="17" spans="2:6" ht="96.75" customHeight="1">
      <c r="B17" s="51">
        <v>8</v>
      </c>
      <c r="C17" s="52" t="s">
        <v>351</v>
      </c>
      <c r="D17" s="52" t="s">
        <v>346</v>
      </c>
      <c r="E17" s="51" t="s">
        <v>350</v>
      </c>
      <c r="F17" s="53">
        <v>22</v>
      </c>
    </row>
    <row r="18" spans="2:6" ht="39.75" customHeight="1">
      <c r="B18" s="51">
        <v>9</v>
      </c>
      <c r="C18" s="52" t="s">
        <v>450</v>
      </c>
      <c r="D18" s="52"/>
      <c r="E18" s="51" t="s">
        <v>139</v>
      </c>
      <c r="F18" s="53">
        <v>1.5</v>
      </c>
    </row>
    <row r="19" spans="2:6" ht="18.75">
      <c r="B19" s="51">
        <v>10</v>
      </c>
      <c r="C19" s="52" t="s">
        <v>398</v>
      </c>
      <c r="D19" s="52"/>
      <c r="E19" s="51" t="s">
        <v>139</v>
      </c>
      <c r="F19" s="53">
        <v>10</v>
      </c>
    </row>
    <row r="20" spans="2:6" ht="37.5">
      <c r="B20" s="51">
        <v>11</v>
      </c>
      <c r="C20" s="52" t="s">
        <v>352</v>
      </c>
      <c r="D20" s="52" t="s">
        <v>451</v>
      </c>
      <c r="E20" s="51" t="s">
        <v>139</v>
      </c>
      <c r="F20" s="53">
        <v>30</v>
      </c>
    </row>
    <row r="21" spans="2:6" ht="18.75">
      <c r="B21" s="51">
        <v>12</v>
      </c>
      <c r="C21" s="52" t="s">
        <v>353</v>
      </c>
      <c r="D21" s="52"/>
      <c r="E21" s="51" t="s">
        <v>323</v>
      </c>
      <c r="F21" s="53">
        <v>0.7</v>
      </c>
    </row>
    <row r="22" spans="2:6" ht="18.75">
      <c r="B22" s="51">
        <v>13</v>
      </c>
      <c r="C22" s="52" t="s">
        <v>354</v>
      </c>
      <c r="D22" s="52"/>
      <c r="E22" s="51" t="s">
        <v>323</v>
      </c>
      <c r="F22" s="53">
        <v>1</v>
      </c>
    </row>
    <row r="23" spans="2:6" ht="44.25" customHeight="1">
      <c r="B23" s="51">
        <v>14</v>
      </c>
      <c r="C23" s="52" t="s">
        <v>355</v>
      </c>
      <c r="D23" s="52" t="s">
        <v>356</v>
      </c>
      <c r="E23" s="51" t="s">
        <v>139</v>
      </c>
      <c r="F23" s="53">
        <v>2.5</v>
      </c>
    </row>
    <row r="24" spans="2:6" ht="56.25">
      <c r="B24" s="51">
        <v>15</v>
      </c>
      <c r="C24" s="52" t="s">
        <v>357</v>
      </c>
      <c r="D24" s="51"/>
      <c r="E24" s="51" t="s">
        <v>350</v>
      </c>
      <c r="F24" s="53">
        <v>2</v>
      </c>
    </row>
    <row r="25" spans="2:6" ht="56.25">
      <c r="B25" s="51">
        <v>16</v>
      </c>
      <c r="C25" s="52" t="s">
        <v>358</v>
      </c>
      <c r="D25" s="52"/>
      <c r="E25" s="51" t="s">
        <v>350</v>
      </c>
      <c r="F25" s="53">
        <v>200</v>
      </c>
    </row>
    <row r="26" spans="2:6" ht="37.5">
      <c r="B26" s="51">
        <v>17</v>
      </c>
      <c r="C26" s="52" t="s">
        <v>359</v>
      </c>
      <c r="D26" s="52"/>
      <c r="E26" s="51" t="s">
        <v>139</v>
      </c>
      <c r="F26" s="53">
        <v>10</v>
      </c>
    </row>
    <row r="27" spans="2:6" ht="37.5">
      <c r="B27" s="51">
        <v>18</v>
      </c>
      <c r="C27" s="89" t="s">
        <v>360</v>
      </c>
      <c r="D27" s="52" t="s">
        <v>361</v>
      </c>
      <c r="E27" s="83" t="s">
        <v>350</v>
      </c>
      <c r="F27" s="94">
        <v>1000</v>
      </c>
    </row>
    <row r="28" spans="2:6" ht="112.5">
      <c r="B28" s="51">
        <v>19</v>
      </c>
      <c r="C28" s="244" t="s">
        <v>452</v>
      </c>
      <c r="D28" s="52" t="s">
        <v>453</v>
      </c>
      <c r="E28" s="83" t="s">
        <v>454</v>
      </c>
      <c r="F28" s="83">
        <v>61.67</v>
      </c>
    </row>
  </sheetData>
  <sheetProtection/>
  <mergeCells count="4">
    <mergeCell ref="B6:F6"/>
    <mergeCell ref="D2:F2"/>
    <mergeCell ref="D3:F3"/>
    <mergeCell ref="D4:F4"/>
  </mergeCells>
  <printOptions/>
  <pageMargins left="0.16" right="0.21" top="0.25" bottom="0.24" header="0.16" footer="0.17"/>
  <pageSetup horizontalDpi="600" verticalDpi="600" orientation="portrait" paperSize="9" scale="88" r:id="rId1"/>
  <rowBreaks count="1" manualBreakCount="1">
    <brk id="15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D2" sqref="D2:E4"/>
    </sheetView>
  </sheetViews>
  <sheetFormatPr defaultColWidth="9.00390625" defaultRowHeight="12.75"/>
  <cols>
    <col min="1" max="1" width="3.625" style="50" customWidth="1"/>
    <col min="2" max="2" width="6.00390625" style="50" customWidth="1"/>
    <col min="3" max="3" width="38.625" style="50" customWidth="1"/>
    <col min="4" max="4" width="11.75390625" style="50" customWidth="1"/>
    <col min="5" max="5" width="36.625" style="50" customWidth="1"/>
    <col min="6" max="6" width="9.125" style="50" customWidth="1"/>
    <col min="7" max="7" width="8.125" style="50" customWidth="1"/>
    <col min="8" max="16384" width="9.125" style="50" customWidth="1"/>
  </cols>
  <sheetData>
    <row r="2" spans="4:5" ht="18.75">
      <c r="D2" s="387"/>
      <c r="E2" s="387"/>
    </row>
    <row r="3" spans="4:5" ht="18.75">
      <c r="D3" s="376"/>
      <c r="E3" s="376"/>
    </row>
    <row r="4" spans="4:5" ht="18.75">
      <c r="D4" s="377"/>
      <c r="E4" s="377"/>
    </row>
    <row r="5" spans="4:5" ht="18.75">
      <c r="D5" s="74"/>
      <c r="E5" s="74"/>
    </row>
    <row r="6" spans="2:5" ht="42" customHeight="1">
      <c r="B6" s="437" t="s">
        <v>380</v>
      </c>
      <c r="C6" s="437"/>
      <c r="D6" s="437"/>
      <c r="E6" s="437"/>
    </row>
    <row r="7" ht="20.25" customHeight="1"/>
    <row r="8" spans="2:5" ht="48.75" customHeight="1">
      <c r="B8" s="32" t="s">
        <v>104</v>
      </c>
      <c r="C8" s="90" t="s">
        <v>143</v>
      </c>
      <c r="D8" s="90" t="s">
        <v>320</v>
      </c>
      <c r="E8" s="51" t="s">
        <v>321</v>
      </c>
    </row>
    <row r="9" spans="2:5" ht="24" customHeight="1">
      <c r="B9" s="79">
        <v>1</v>
      </c>
      <c r="C9" s="86" t="s">
        <v>335</v>
      </c>
      <c r="D9" s="79" t="s">
        <v>336</v>
      </c>
      <c r="E9" s="93">
        <v>17</v>
      </c>
    </row>
    <row r="10" spans="3:5" ht="18.75">
      <c r="C10" s="87"/>
      <c r="D10" s="78"/>
      <c r="E10" s="88"/>
    </row>
  </sheetData>
  <sheetProtection/>
  <mergeCells count="4">
    <mergeCell ref="D2:E2"/>
    <mergeCell ref="D3:E3"/>
    <mergeCell ref="D4:E4"/>
    <mergeCell ref="B6:E6"/>
  </mergeCells>
  <printOptions/>
  <pageMargins left="0.19" right="0.21" top="0.33" bottom="0.33" header="0.16" footer="0.18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11"/>
  <sheetViews>
    <sheetView zoomScalePageLayoutView="0" workbookViewId="0" topLeftCell="A1">
      <selection activeCell="D2" sqref="D2:D5"/>
    </sheetView>
  </sheetViews>
  <sheetFormatPr defaultColWidth="9.00390625" defaultRowHeight="12.75"/>
  <cols>
    <col min="1" max="1" width="4.625" style="31" customWidth="1"/>
    <col min="2" max="2" width="45.25390625" style="31" customWidth="1"/>
    <col min="3" max="3" width="15.375" style="31" customWidth="1"/>
    <col min="4" max="4" width="33.00390625" style="31" customWidth="1"/>
    <col min="5" max="16384" width="9.125" style="31" customWidth="1"/>
  </cols>
  <sheetData>
    <row r="2" spans="3:4" ht="18.75">
      <c r="C2" s="227"/>
      <c r="D2" s="227"/>
    </row>
    <row r="3" spans="3:4" ht="18.75">
      <c r="C3" s="35"/>
      <c r="D3" s="35"/>
    </row>
    <row r="4" spans="3:4" ht="18.75">
      <c r="C4" s="35"/>
      <c r="D4" s="35"/>
    </row>
    <row r="5" spans="3:4" ht="18.75">
      <c r="C5" s="74"/>
      <c r="D5" s="74"/>
    </row>
    <row r="6" spans="3:4" ht="18.75">
      <c r="C6" s="74"/>
      <c r="D6" s="74"/>
    </row>
    <row r="7" spans="2:8" ht="33" customHeight="1">
      <c r="B7" s="382" t="s">
        <v>399</v>
      </c>
      <c r="C7" s="382"/>
      <c r="D7" s="382"/>
      <c r="E7" s="44"/>
      <c r="F7" s="44"/>
      <c r="G7" s="44"/>
      <c r="H7" s="44"/>
    </row>
    <row r="9" spans="2:4" ht="49.5" customHeight="1">
      <c r="B9" s="33" t="s">
        <v>133</v>
      </c>
      <c r="C9" s="33" t="s">
        <v>134</v>
      </c>
      <c r="D9" s="38" t="s">
        <v>135</v>
      </c>
    </row>
    <row r="10" spans="2:4" ht="46.5" customHeight="1">
      <c r="B10" s="42" t="s">
        <v>400</v>
      </c>
      <c r="C10" s="45" t="s">
        <v>147</v>
      </c>
      <c r="D10" s="229">
        <v>28</v>
      </c>
    </row>
    <row r="11" spans="2:3" ht="18.75">
      <c r="B11" s="46"/>
      <c r="C11" s="47"/>
    </row>
  </sheetData>
  <sheetProtection/>
  <mergeCells count="1">
    <mergeCell ref="B7:D7"/>
  </mergeCells>
  <printOptions/>
  <pageMargins left="0.2" right="0.19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D2" sqref="D2:D6"/>
    </sheetView>
  </sheetViews>
  <sheetFormatPr defaultColWidth="9.00390625" defaultRowHeight="12.75"/>
  <cols>
    <col min="1" max="1" width="4.625" style="31" customWidth="1"/>
    <col min="2" max="2" width="45.25390625" style="31" customWidth="1"/>
    <col min="3" max="3" width="15.375" style="31" customWidth="1"/>
    <col min="4" max="4" width="33.00390625" style="31" customWidth="1"/>
    <col min="5" max="16384" width="9.125" style="31" customWidth="1"/>
  </cols>
  <sheetData>
    <row r="2" spans="3:4" ht="18.75">
      <c r="C2" s="227"/>
      <c r="D2" s="227"/>
    </row>
    <row r="3" spans="3:4" ht="18.75">
      <c r="C3" s="35"/>
      <c r="D3" s="35"/>
    </row>
    <row r="4" spans="3:4" ht="18.75">
      <c r="C4" s="35"/>
      <c r="D4" s="35"/>
    </row>
    <row r="5" spans="3:4" ht="18.75">
      <c r="C5" s="74"/>
      <c r="D5" s="74"/>
    </row>
    <row r="6" spans="3:4" ht="18.75">
      <c r="C6" s="74"/>
      <c r="D6" s="74"/>
    </row>
    <row r="7" spans="2:8" ht="33" customHeight="1">
      <c r="B7" s="382" t="s">
        <v>427</v>
      </c>
      <c r="C7" s="382"/>
      <c r="D7" s="382"/>
      <c r="E7" s="44"/>
      <c r="F7" s="44"/>
      <c r="G7" s="44"/>
      <c r="H7" s="44"/>
    </row>
    <row r="9" spans="2:4" ht="49.5" customHeight="1">
      <c r="B9" s="33" t="s">
        <v>133</v>
      </c>
      <c r="C9" s="33" t="s">
        <v>134</v>
      </c>
      <c r="D9" s="38" t="s">
        <v>135</v>
      </c>
    </row>
    <row r="10" spans="2:4" ht="148.5" customHeight="1">
      <c r="B10" s="236" t="s">
        <v>429</v>
      </c>
      <c r="C10" s="33" t="s">
        <v>428</v>
      </c>
      <c r="D10" s="38">
        <v>13.8</v>
      </c>
    </row>
    <row r="11" spans="2:4" ht="46.5" customHeight="1">
      <c r="B11" s="241" t="s">
        <v>430</v>
      </c>
      <c r="C11" s="41" t="s">
        <v>428</v>
      </c>
      <c r="D11" s="229">
        <v>3.7</v>
      </c>
    </row>
    <row r="12" spans="2:3" ht="18.75">
      <c r="B12" s="46"/>
      <c r="C12" s="47"/>
    </row>
  </sheetData>
  <sheetProtection/>
  <mergeCells count="1">
    <mergeCell ref="B7:D7"/>
  </mergeCells>
  <printOptions/>
  <pageMargins left="0.2" right="0.2" top="0.27" bottom="0.34" header="0.16" footer="0.2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J24"/>
  <sheetViews>
    <sheetView zoomScalePageLayoutView="0" workbookViewId="0" topLeftCell="A1">
      <selection activeCell="G2" sqref="G2:I5"/>
    </sheetView>
  </sheetViews>
  <sheetFormatPr defaultColWidth="9.00390625" defaultRowHeight="12.75"/>
  <cols>
    <col min="1" max="1" width="2.75390625" style="50" customWidth="1"/>
    <col min="2" max="2" width="5.375" style="50" customWidth="1"/>
    <col min="3" max="3" width="17.25390625" style="50" customWidth="1"/>
    <col min="4" max="4" width="20.25390625" style="50" customWidth="1"/>
    <col min="5" max="5" width="15.125" style="50" customWidth="1"/>
    <col min="6" max="6" width="12.625" style="50" customWidth="1"/>
    <col min="7" max="7" width="13.75390625" style="50" customWidth="1"/>
    <col min="8" max="8" width="14.625" style="50" customWidth="1"/>
    <col min="9" max="9" width="20.25390625" style="50" customWidth="1"/>
    <col min="10" max="16384" width="9.125" style="50" customWidth="1"/>
  </cols>
  <sheetData>
    <row r="1" spans="4:10" ht="18.75">
      <c r="D1" s="96"/>
      <c r="E1" s="96"/>
      <c r="F1" s="96"/>
      <c r="G1" s="96"/>
      <c r="H1" s="287"/>
      <c r="I1" s="287"/>
      <c r="J1" s="96"/>
    </row>
    <row r="2" spans="4:10" ht="18.75" customHeight="1">
      <c r="D2" s="96"/>
      <c r="E2" s="96"/>
      <c r="F2" s="97"/>
      <c r="G2" s="287"/>
      <c r="H2" s="287"/>
      <c r="I2" s="287"/>
      <c r="J2" s="96"/>
    </row>
    <row r="3" spans="4:10" ht="18.75" customHeight="1">
      <c r="D3" s="96"/>
      <c r="E3" s="96"/>
      <c r="F3" s="96"/>
      <c r="G3" s="318"/>
      <c r="H3" s="318"/>
      <c r="I3" s="318"/>
      <c r="J3" s="96"/>
    </row>
    <row r="4" spans="4:10" ht="18.75" customHeight="1">
      <c r="D4" s="96"/>
      <c r="E4" s="96"/>
      <c r="F4" s="105"/>
      <c r="G4" s="319"/>
      <c r="H4" s="319"/>
      <c r="I4" s="319"/>
      <c r="J4" s="96"/>
    </row>
    <row r="5" spans="7:8" ht="20.25" customHeight="1">
      <c r="G5" s="96"/>
      <c r="H5" s="96"/>
    </row>
    <row r="6" spans="2:9" ht="18.75">
      <c r="B6" s="350" t="s">
        <v>101</v>
      </c>
      <c r="C6" s="350"/>
      <c r="D6" s="350"/>
      <c r="E6" s="350"/>
      <c r="F6" s="350"/>
      <c r="G6" s="350"/>
      <c r="H6" s="350"/>
      <c r="I6" s="350"/>
    </row>
    <row r="7" spans="2:9" ht="101.25" customHeight="1">
      <c r="B7" s="371" t="s">
        <v>115</v>
      </c>
      <c r="C7" s="371"/>
      <c r="D7" s="371"/>
      <c r="E7" s="371"/>
      <c r="F7" s="371"/>
      <c r="G7" s="371"/>
      <c r="H7" s="371"/>
      <c r="I7" s="371"/>
    </row>
    <row r="8" spans="2:9" ht="18.75">
      <c r="B8" s="350" t="s">
        <v>102</v>
      </c>
      <c r="C8" s="350"/>
      <c r="D8" s="350"/>
      <c r="E8" s="350"/>
      <c r="F8" s="350"/>
      <c r="G8" s="350"/>
      <c r="H8" s="350"/>
      <c r="I8" s="350"/>
    </row>
    <row r="9" spans="2:9" ht="18.75">
      <c r="B9" s="319" t="s">
        <v>116</v>
      </c>
      <c r="C9" s="319"/>
      <c r="D9" s="319"/>
      <c r="E9" s="319"/>
      <c r="F9" s="319"/>
      <c r="G9" s="319"/>
      <c r="H9" s="319"/>
      <c r="I9" s="319"/>
    </row>
    <row r="10" spans="2:9" ht="18.75">
      <c r="B10" s="319"/>
      <c r="C10" s="319"/>
      <c r="D10" s="319"/>
      <c r="E10" s="319"/>
      <c r="F10" s="319"/>
      <c r="G10" s="319"/>
      <c r="H10" s="319"/>
      <c r="I10" s="319"/>
    </row>
    <row r="11" ht="10.5" customHeight="1"/>
    <row r="12" spans="2:9" ht="18.75">
      <c r="B12" s="361" t="s">
        <v>104</v>
      </c>
      <c r="C12" s="364" t="s">
        <v>74</v>
      </c>
      <c r="D12" s="364" t="s">
        <v>105</v>
      </c>
      <c r="E12" s="364" t="s">
        <v>439</v>
      </c>
      <c r="F12" s="366" t="s">
        <v>106</v>
      </c>
      <c r="G12" s="366"/>
      <c r="H12" s="366"/>
      <c r="I12" s="367"/>
    </row>
    <row r="13" spans="2:9" ht="76.5" customHeight="1">
      <c r="B13" s="348"/>
      <c r="C13" s="365"/>
      <c r="D13" s="365"/>
      <c r="E13" s="365"/>
      <c r="F13" s="243" t="s">
        <v>107</v>
      </c>
      <c r="G13" s="103" t="s">
        <v>108</v>
      </c>
      <c r="H13" s="103" t="s">
        <v>384</v>
      </c>
      <c r="I13" s="51" t="s">
        <v>109</v>
      </c>
    </row>
    <row r="14" spans="2:9" ht="32.25" customHeight="1">
      <c r="B14" s="359">
        <v>1</v>
      </c>
      <c r="C14" s="440" t="s">
        <v>110</v>
      </c>
      <c r="D14" s="361" t="s">
        <v>441</v>
      </c>
      <c r="E14" s="51" t="s">
        <v>440</v>
      </c>
      <c r="F14" s="213">
        <f>F15+0.3</f>
        <v>9.73</v>
      </c>
      <c r="G14" s="213">
        <f>G15+0.3</f>
        <v>12.700000000000001</v>
      </c>
      <c r="H14" s="213">
        <f>H15+0.3</f>
        <v>17.11</v>
      </c>
      <c r="I14" s="213">
        <f>I15+0.3</f>
        <v>21.310000000000002</v>
      </c>
    </row>
    <row r="15" spans="2:9" ht="33.75" customHeight="1">
      <c r="B15" s="439"/>
      <c r="C15" s="441"/>
      <c r="D15" s="438"/>
      <c r="E15" s="51" t="s">
        <v>437</v>
      </c>
      <c r="F15" s="213">
        <v>9.43</v>
      </c>
      <c r="G15" s="213">
        <v>12.4</v>
      </c>
      <c r="H15" s="213">
        <v>16.81</v>
      </c>
      <c r="I15" s="213">
        <v>21.01</v>
      </c>
    </row>
    <row r="16" spans="2:9" ht="31.5" customHeight="1">
      <c r="B16" s="360"/>
      <c r="C16" s="442"/>
      <c r="D16" s="348"/>
      <c r="E16" s="51" t="s">
        <v>438</v>
      </c>
      <c r="F16" s="213">
        <f>F15-0.3</f>
        <v>9.129999999999999</v>
      </c>
      <c r="G16" s="213">
        <f>G15-0.3</f>
        <v>12.1</v>
      </c>
      <c r="H16" s="213">
        <f>H15-0.3</f>
        <v>16.509999999999998</v>
      </c>
      <c r="I16" s="213">
        <f>I15-0.3</f>
        <v>20.71</v>
      </c>
    </row>
    <row r="17" spans="2:9" ht="36" customHeight="1">
      <c r="B17" s="359">
        <v>2</v>
      </c>
      <c r="C17" s="362" t="s">
        <v>113</v>
      </c>
      <c r="D17" s="361" t="s">
        <v>442</v>
      </c>
      <c r="E17" s="51" t="s">
        <v>440</v>
      </c>
      <c r="F17" s="213">
        <f>F18+0.3</f>
        <v>10.65</v>
      </c>
      <c r="G17" s="213">
        <f>G18+0.3</f>
        <v>13.83</v>
      </c>
      <c r="H17" s="213">
        <f>H18+0.3</f>
        <v>18.14</v>
      </c>
      <c r="I17" s="213">
        <f>I18+0.3</f>
        <v>22.13</v>
      </c>
    </row>
    <row r="18" spans="2:9" ht="33" customHeight="1">
      <c r="B18" s="439"/>
      <c r="C18" s="443"/>
      <c r="D18" s="438"/>
      <c r="E18" s="51" t="s">
        <v>437</v>
      </c>
      <c r="F18" s="213">
        <v>10.35</v>
      </c>
      <c r="G18" s="213">
        <v>13.53</v>
      </c>
      <c r="H18" s="213">
        <v>17.84</v>
      </c>
      <c r="I18" s="213">
        <v>21.83</v>
      </c>
    </row>
    <row r="19" spans="2:9" ht="37.5" customHeight="1">
      <c r="B19" s="360"/>
      <c r="C19" s="363"/>
      <c r="D19" s="348"/>
      <c r="E19" s="51" t="s">
        <v>438</v>
      </c>
      <c r="F19" s="213">
        <f>F18-0.3</f>
        <v>10.049999999999999</v>
      </c>
      <c r="G19" s="213">
        <f>G18-0.3</f>
        <v>13.229999999999999</v>
      </c>
      <c r="H19" s="213">
        <f>H18-0.3</f>
        <v>17.54</v>
      </c>
      <c r="I19" s="213">
        <f>I18-0.3</f>
        <v>21.529999999999998</v>
      </c>
    </row>
    <row r="20" spans="2:9" ht="33.75" customHeight="1">
      <c r="B20" s="359">
        <v>3</v>
      </c>
      <c r="C20" s="362" t="s">
        <v>114</v>
      </c>
      <c r="D20" s="361" t="s">
        <v>441</v>
      </c>
      <c r="E20" s="51" t="s">
        <v>440</v>
      </c>
      <c r="F20" s="213">
        <f>F21+0.3</f>
        <v>9.42</v>
      </c>
      <c r="G20" s="213">
        <f>G21+0.3</f>
        <v>12.290000000000001</v>
      </c>
      <c r="H20" s="213">
        <f>H21+0.3</f>
        <v>16.29</v>
      </c>
      <c r="I20" s="213">
        <f>I21+0.3</f>
        <v>20.19</v>
      </c>
    </row>
    <row r="21" spans="2:9" ht="34.5" customHeight="1">
      <c r="B21" s="439"/>
      <c r="C21" s="443"/>
      <c r="D21" s="438"/>
      <c r="E21" s="51" t="s">
        <v>437</v>
      </c>
      <c r="F21" s="213">
        <v>9.12</v>
      </c>
      <c r="G21" s="213">
        <v>11.99</v>
      </c>
      <c r="H21" s="213">
        <v>15.99</v>
      </c>
      <c r="I21" s="213">
        <v>19.89</v>
      </c>
    </row>
    <row r="22" spans="2:9" ht="40.5" customHeight="1">
      <c r="B22" s="360"/>
      <c r="C22" s="363"/>
      <c r="D22" s="348"/>
      <c r="E22" s="51" t="s">
        <v>438</v>
      </c>
      <c r="F22" s="213">
        <f>F21-0.3</f>
        <v>8.819999999999999</v>
      </c>
      <c r="G22" s="213">
        <f>G21-0.3</f>
        <v>11.69</v>
      </c>
      <c r="H22" s="213">
        <f>H21-0.3</f>
        <v>15.69</v>
      </c>
      <c r="I22" s="213">
        <f>I21-0.3</f>
        <v>19.59</v>
      </c>
    </row>
    <row r="23" spans="2:9" ht="24" customHeight="1">
      <c r="B23" s="368"/>
      <c r="C23" s="368"/>
      <c r="D23" s="368"/>
      <c r="E23" s="368"/>
      <c r="F23" s="368"/>
      <c r="G23" s="368"/>
      <c r="H23" s="368"/>
      <c r="I23" s="368"/>
    </row>
    <row r="24" spans="2:9" ht="18.75">
      <c r="B24" s="318"/>
      <c r="C24" s="318"/>
      <c r="D24" s="318"/>
      <c r="E24" s="318"/>
      <c r="F24" s="318"/>
      <c r="G24" s="318"/>
      <c r="H24" s="318"/>
      <c r="I24" s="318"/>
    </row>
  </sheetData>
  <sheetProtection/>
  <mergeCells count="25">
    <mergeCell ref="H1:I1"/>
    <mergeCell ref="G2:I2"/>
    <mergeCell ref="G3:I3"/>
    <mergeCell ref="G4:I4"/>
    <mergeCell ref="B6:I6"/>
    <mergeCell ref="B7:I7"/>
    <mergeCell ref="B20:B22"/>
    <mergeCell ref="C20:C22"/>
    <mergeCell ref="B8:I8"/>
    <mergeCell ref="B9:I9"/>
    <mergeCell ref="B10:I10"/>
    <mergeCell ref="B12:B13"/>
    <mergeCell ref="C12:C13"/>
    <mergeCell ref="D12:D13"/>
    <mergeCell ref="F12:I12"/>
    <mergeCell ref="B23:I23"/>
    <mergeCell ref="B24:I24"/>
    <mergeCell ref="E12:E13"/>
    <mergeCell ref="D14:D16"/>
    <mergeCell ref="D17:D19"/>
    <mergeCell ref="D20:D22"/>
    <mergeCell ref="B14:B16"/>
    <mergeCell ref="C14:C16"/>
    <mergeCell ref="B17:B19"/>
    <mergeCell ref="C17:C19"/>
  </mergeCells>
  <printOptions/>
  <pageMargins left="0.2" right="0.2" top="0.75" bottom="0.75" header="0.3" footer="0.3"/>
  <pageSetup horizontalDpi="600" verticalDpi="600" orientation="portrait" paperSize="9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58"/>
  <sheetViews>
    <sheetView zoomScale="150" zoomScaleNormal="150" zoomScaleSheetLayoutView="80" zoomScalePageLayoutView="0" workbookViewId="0" topLeftCell="A13">
      <selection activeCell="B28" sqref="B28:G28"/>
    </sheetView>
  </sheetViews>
  <sheetFormatPr defaultColWidth="9.00390625" defaultRowHeight="12.75"/>
  <cols>
    <col min="1" max="1" width="4.75390625" style="50" customWidth="1"/>
    <col min="2" max="2" width="14.125" style="50" customWidth="1"/>
    <col min="3" max="3" width="13.625" style="50" customWidth="1"/>
    <col min="4" max="4" width="10.00390625" style="50" customWidth="1"/>
    <col min="5" max="6" width="13.875" style="50" customWidth="1"/>
    <col min="7" max="7" width="25.125" style="50" customWidth="1"/>
    <col min="8" max="8" width="4.875" style="50" customWidth="1"/>
    <col min="9" max="16384" width="9.125" style="50" customWidth="1"/>
  </cols>
  <sheetData>
    <row r="1" spans="1:8" ht="48.75" customHeight="1">
      <c r="A1" s="184"/>
      <c r="B1" s="335" t="s">
        <v>87</v>
      </c>
      <c r="C1" s="335"/>
      <c r="D1" s="335"/>
      <c r="E1" s="335"/>
      <c r="F1" s="335"/>
      <c r="G1" s="335"/>
      <c r="H1" s="29"/>
    </row>
    <row r="2" spans="1:8" ht="21" customHeight="1" thickBot="1">
      <c r="A2" s="116"/>
      <c r="B2" s="278" t="s">
        <v>10</v>
      </c>
      <c r="C2" s="278"/>
      <c r="D2" s="278"/>
      <c r="E2" s="278"/>
      <c r="F2" s="278"/>
      <c r="G2" s="278"/>
      <c r="H2" s="115"/>
    </row>
    <row r="3" spans="1:8" ht="19.5" customHeight="1">
      <c r="A3" s="157"/>
      <c r="B3" s="339" t="s">
        <v>3</v>
      </c>
      <c r="C3" s="341" t="s">
        <v>5</v>
      </c>
      <c r="D3" s="341" t="s">
        <v>4</v>
      </c>
      <c r="E3" s="343" t="s">
        <v>381</v>
      </c>
      <c r="F3" s="343"/>
      <c r="G3" s="344"/>
      <c r="H3" s="108"/>
    </row>
    <row r="4" spans="1:8" ht="35.25" customHeight="1" thickBot="1">
      <c r="A4" s="157"/>
      <c r="B4" s="340"/>
      <c r="C4" s="342"/>
      <c r="D4" s="342"/>
      <c r="E4" s="197" t="s">
        <v>91</v>
      </c>
      <c r="F4" s="198" t="s">
        <v>92</v>
      </c>
      <c r="G4" s="199" t="s">
        <v>93</v>
      </c>
      <c r="H4" s="108"/>
    </row>
    <row r="5" spans="2:8" ht="23.25" customHeight="1">
      <c r="B5" s="337" t="s">
        <v>2</v>
      </c>
      <c r="C5" s="337"/>
      <c r="D5" s="337"/>
      <c r="E5" s="337"/>
      <c r="F5" s="337"/>
      <c r="G5" s="337"/>
      <c r="H5" s="121"/>
    </row>
    <row r="6" spans="2:8" ht="40.5" customHeight="1">
      <c r="B6" s="278" t="s">
        <v>96</v>
      </c>
      <c r="C6" s="278"/>
      <c r="D6" s="278"/>
      <c r="E6" s="278"/>
      <c r="F6" s="278"/>
      <c r="G6" s="278"/>
      <c r="H6" s="121"/>
    </row>
    <row r="7" spans="1:8" ht="21.75" customHeight="1" thickBot="1">
      <c r="A7" s="107"/>
      <c r="B7" s="279" t="s">
        <v>43</v>
      </c>
      <c r="C7" s="279"/>
      <c r="D7" s="279"/>
      <c r="E7" s="279"/>
      <c r="F7" s="279"/>
      <c r="G7" s="279"/>
      <c r="H7" s="147"/>
    </row>
    <row r="8" spans="2:8" ht="18.75">
      <c r="B8" s="315" t="s">
        <v>8</v>
      </c>
      <c r="C8" s="294" t="s">
        <v>16</v>
      </c>
      <c r="D8" s="148">
        <v>1</v>
      </c>
      <c r="E8" s="125">
        <f>(21.7*2.5%)+21.7</f>
        <v>22.2425</v>
      </c>
      <c r="F8" s="125">
        <f>(38.3*2.5%)+38.3</f>
        <v>39.2575</v>
      </c>
      <c r="G8" s="126">
        <f>(57.8*2.5%)+57.8</f>
        <v>59.245</v>
      </c>
      <c r="H8" s="127"/>
    </row>
    <row r="9" spans="2:8" ht="18.75">
      <c r="B9" s="316"/>
      <c r="C9" s="295"/>
      <c r="D9" s="151">
        <v>2</v>
      </c>
      <c r="E9" s="130">
        <f>(18.1*2.5%)+18.1</f>
        <v>18.552500000000002</v>
      </c>
      <c r="F9" s="130">
        <f>(31.9*2.5%)+31.9</f>
        <v>32.6975</v>
      </c>
      <c r="G9" s="131">
        <f>(48.2*2.5%)+48.2</f>
        <v>49.405</v>
      </c>
      <c r="H9" s="132"/>
    </row>
    <row r="10" spans="2:8" ht="18.75">
      <c r="B10" s="316"/>
      <c r="C10" s="296"/>
      <c r="D10" s="180">
        <v>3</v>
      </c>
      <c r="E10" s="135">
        <f>(14.5*2.5%)+14.5</f>
        <v>14.8625</v>
      </c>
      <c r="F10" s="135">
        <f>(25.5*2.5%)+25.5</f>
        <v>26.1375</v>
      </c>
      <c r="G10" s="136">
        <f>(38.6*2.5%)+38.6</f>
        <v>39.565000000000005</v>
      </c>
      <c r="H10" s="127"/>
    </row>
    <row r="11" spans="2:8" ht="18.75">
      <c r="B11" s="316"/>
      <c r="C11" s="297" t="s">
        <v>17</v>
      </c>
      <c r="D11" s="151">
        <v>1</v>
      </c>
      <c r="E11" s="139">
        <f>(24.7*2.5%)+24.7</f>
        <v>25.3175</v>
      </c>
      <c r="F11" s="139">
        <f>(41*2.5%)+41</f>
        <v>42.025</v>
      </c>
      <c r="G11" s="140">
        <f>(64*2.5%)+64</f>
        <v>65.6</v>
      </c>
      <c r="H11" s="127"/>
    </row>
    <row r="12" spans="2:8" ht="18.75">
      <c r="B12" s="316"/>
      <c r="C12" s="295"/>
      <c r="D12" s="151">
        <v>2</v>
      </c>
      <c r="E12" s="130">
        <f>(20.6*2.5%)+20.6</f>
        <v>21.115000000000002</v>
      </c>
      <c r="F12" s="130">
        <f>(34.2*2.5%)+34.2</f>
        <v>35.055</v>
      </c>
      <c r="G12" s="131">
        <f>(53.3*2.5%)+53.3</f>
        <v>54.6325</v>
      </c>
      <c r="H12" s="132"/>
    </row>
    <row r="13" spans="2:8" ht="18.75">
      <c r="B13" s="316"/>
      <c r="C13" s="296"/>
      <c r="D13" s="180">
        <v>3</v>
      </c>
      <c r="E13" s="135">
        <f>(16.5*2.5%)+16.5</f>
        <v>16.9125</v>
      </c>
      <c r="F13" s="135">
        <f>(27.4*2.5%)+27.4</f>
        <v>28.084999999999997</v>
      </c>
      <c r="G13" s="136">
        <f>(42.6*2.5%)+42.6</f>
        <v>43.665</v>
      </c>
      <c r="H13" s="127"/>
    </row>
    <row r="14" spans="2:8" ht="18.75">
      <c r="B14" s="316"/>
      <c r="C14" s="297" t="s">
        <v>13</v>
      </c>
      <c r="D14" s="151">
        <v>1</v>
      </c>
      <c r="E14" s="139">
        <f>(29.5*2.5%)+29.5</f>
        <v>30.2375</v>
      </c>
      <c r="F14" s="158">
        <f>(47.5*2.5%)+47.5</f>
        <v>48.6875</v>
      </c>
      <c r="G14" s="153">
        <f>(72*2.5%)+72</f>
        <v>73.8</v>
      </c>
      <c r="H14" s="127"/>
    </row>
    <row r="15" spans="2:8" ht="18.75">
      <c r="B15" s="316"/>
      <c r="C15" s="295"/>
      <c r="D15" s="151">
        <v>2</v>
      </c>
      <c r="E15" s="130">
        <f>(24.6*2.5%)+24.6</f>
        <v>25.215</v>
      </c>
      <c r="F15" s="152">
        <f>(39.6*2.5%)+39.6</f>
        <v>40.59</v>
      </c>
      <c r="G15" s="153">
        <f>(60*2.5%)+60</f>
        <v>61.5</v>
      </c>
      <c r="H15" s="132"/>
    </row>
    <row r="16" spans="2:8" ht="19.5" thickBot="1">
      <c r="B16" s="317"/>
      <c r="C16" s="320"/>
      <c r="D16" s="154">
        <v>3</v>
      </c>
      <c r="E16" s="200">
        <f>(19.7*2.5%)+19.7</f>
        <v>20.1925</v>
      </c>
      <c r="F16" s="201">
        <f>(31.7*2.5%)+31.7</f>
        <v>32.4925</v>
      </c>
      <c r="G16" s="202">
        <f>(48*2.5%)+48</f>
        <v>49.2</v>
      </c>
      <c r="H16" s="185"/>
    </row>
    <row r="17" spans="1:8" ht="20.25" thickBot="1">
      <c r="A17" s="146"/>
      <c r="B17" s="279" t="s">
        <v>44</v>
      </c>
      <c r="C17" s="279"/>
      <c r="D17" s="279"/>
      <c r="E17" s="279"/>
      <c r="F17" s="279"/>
      <c r="G17" s="336"/>
      <c r="H17" s="147"/>
    </row>
    <row r="18" spans="2:8" ht="18.75">
      <c r="B18" s="315" t="s">
        <v>8</v>
      </c>
      <c r="C18" s="294" t="s">
        <v>16</v>
      </c>
      <c r="D18" s="186">
        <v>1</v>
      </c>
      <c r="E18" s="124">
        <f>(17.6*2.5%)+17.6</f>
        <v>18.040000000000003</v>
      </c>
      <c r="F18" s="149">
        <f>(31*2.5%)+31</f>
        <v>31.775</v>
      </c>
      <c r="G18" s="126">
        <f>(49.4*2.5%)+49.4</f>
        <v>50.635</v>
      </c>
      <c r="H18" s="127"/>
    </row>
    <row r="19" spans="2:8" ht="18.75">
      <c r="B19" s="316"/>
      <c r="C19" s="295"/>
      <c r="D19" s="137">
        <v>2</v>
      </c>
      <c r="E19" s="129">
        <f>(14.7*2.5%)+14.7</f>
        <v>15.067499999999999</v>
      </c>
      <c r="F19" s="152">
        <f>(25.8*2.5%)+25.8</f>
        <v>26.445</v>
      </c>
      <c r="G19" s="131">
        <f>(41.2*2.5%)+41.2</f>
        <v>42.230000000000004</v>
      </c>
      <c r="H19" s="132"/>
    </row>
    <row r="20" spans="2:8" ht="18.75">
      <c r="B20" s="316"/>
      <c r="C20" s="296"/>
      <c r="D20" s="141">
        <v>3</v>
      </c>
      <c r="E20" s="134">
        <f>(11.8*2.5%)+11.8</f>
        <v>12.095</v>
      </c>
      <c r="F20" s="160">
        <f>(20.6*2.5%)+20.6</f>
        <v>21.115000000000002</v>
      </c>
      <c r="G20" s="136">
        <f>(33*2.5%)+33</f>
        <v>33.825</v>
      </c>
      <c r="H20" s="127"/>
    </row>
    <row r="21" spans="2:8" ht="18.75">
      <c r="B21" s="316"/>
      <c r="C21" s="297" t="s">
        <v>20</v>
      </c>
      <c r="D21" s="137">
        <v>1</v>
      </c>
      <c r="E21" s="138">
        <f>(19.8*2.5%)+19.8</f>
        <v>20.295</v>
      </c>
      <c r="F21" s="158">
        <f>(33.8*2.5%)+33.8</f>
        <v>34.644999999999996</v>
      </c>
      <c r="G21" s="153">
        <f>(53*2.5%)+53</f>
        <v>54.325</v>
      </c>
      <c r="H21" s="127"/>
    </row>
    <row r="22" spans="2:8" ht="18.75">
      <c r="B22" s="316"/>
      <c r="C22" s="295"/>
      <c r="D22" s="137">
        <v>2</v>
      </c>
      <c r="E22" s="129">
        <f>(16.5*2.5%)+16.5</f>
        <v>16.9125</v>
      </c>
      <c r="F22" s="152">
        <f>(28.2*2.5%)+28.2</f>
        <v>28.905</v>
      </c>
      <c r="G22" s="153">
        <f>(44.2*2.5%)+44.2</f>
        <v>45.305</v>
      </c>
      <c r="H22" s="132"/>
    </row>
    <row r="23" spans="2:8" ht="19.5" thickBot="1">
      <c r="B23" s="317"/>
      <c r="C23" s="320"/>
      <c r="D23" s="142">
        <v>3</v>
      </c>
      <c r="E23" s="143">
        <f>(13.2*2.5%)+13.2</f>
        <v>13.53</v>
      </c>
      <c r="F23" s="155">
        <f>(22.6*2.5%)+22.6</f>
        <v>23.165000000000003</v>
      </c>
      <c r="G23" s="156">
        <f>(35.4*2.5%)+35.4</f>
        <v>36.285</v>
      </c>
      <c r="H23" s="127"/>
    </row>
    <row r="24" spans="1:8" ht="25.5" customHeight="1">
      <c r="A24" s="146"/>
      <c r="B24" s="279" t="s">
        <v>45</v>
      </c>
      <c r="C24" s="279"/>
      <c r="D24" s="279"/>
      <c r="E24" s="279"/>
      <c r="F24" s="279"/>
      <c r="G24" s="279"/>
      <c r="H24" s="147"/>
    </row>
    <row r="25" spans="1:8" ht="47.25" customHeight="1" thickBot="1">
      <c r="A25" s="146"/>
      <c r="B25" s="277" t="s">
        <v>212</v>
      </c>
      <c r="C25" s="277"/>
      <c r="D25" s="277"/>
      <c r="E25" s="277"/>
      <c r="F25" s="277"/>
      <c r="G25" s="277"/>
      <c r="H25" s="147"/>
    </row>
    <row r="26" spans="1:8" ht="19.5">
      <c r="A26" s="95"/>
      <c r="B26" s="324" t="s">
        <v>65</v>
      </c>
      <c r="C26" s="294" t="s">
        <v>47</v>
      </c>
      <c r="D26" s="186" t="s">
        <v>22</v>
      </c>
      <c r="E26" s="149">
        <f>(57.6*2.5%)+57.6</f>
        <v>59.04</v>
      </c>
      <c r="F26" s="149">
        <f>(78.6*2.5%)+78.6</f>
        <v>80.565</v>
      </c>
      <c r="G26" s="150">
        <f>(113*2.5%)+113</f>
        <v>115.825</v>
      </c>
      <c r="H26" s="127"/>
    </row>
    <row r="27" spans="1:8" ht="20.25" thickBot="1">
      <c r="A27" s="95"/>
      <c r="B27" s="326"/>
      <c r="C27" s="320"/>
      <c r="D27" s="142" t="s">
        <v>23</v>
      </c>
      <c r="E27" s="155">
        <f>(48*2.5%)+48</f>
        <v>49.2</v>
      </c>
      <c r="F27" s="155">
        <f>(65.5*2.5%)+65.5</f>
        <v>67.1375</v>
      </c>
      <c r="G27" s="156">
        <f>(94.2*2.5%)+94.2</f>
        <v>96.555</v>
      </c>
      <c r="H27" s="132"/>
    </row>
    <row r="28" spans="1:8" ht="48.75" customHeight="1" thickBot="1">
      <c r="A28" s="146"/>
      <c r="B28" s="333" t="s">
        <v>213</v>
      </c>
      <c r="C28" s="333"/>
      <c r="D28" s="333"/>
      <c r="E28" s="333"/>
      <c r="F28" s="333"/>
      <c r="G28" s="333"/>
      <c r="H28" s="147"/>
    </row>
    <row r="29" spans="2:8" ht="21" customHeight="1">
      <c r="B29" s="324" t="s">
        <v>12</v>
      </c>
      <c r="C29" s="294" t="s">
        <v>21</v>
      </c>
      <c r="D29" s="186" t="s">
        <v>22</v>
      </c>
      <c r="E29" s="124">
        <f>(39.6*2.5%)+39.6</f>
        <v>40.59</v>
      </c>
      <c r="F29" s="149">
        <f>(68.4*2.5%)+68.4</f>
        <v>70.11</v>
      </c>
      <c r="G29" s="126">
        <f>(99.6*2.5%)+99.6</f>
        <v>102.08999999999999</v>
      </c>
      <c r="H29" s="127"/>
    </row>
    <row r="30" spans="2:8" ht="18.75">
      <c r="B30" s="325"/>
      <c r="C30" s="296"/>
      <c r="D30" s="137" t="s">
        <v>23</v>
      </c>
      <c r="E30" s="134">
        <f>(33*2.5%)+33</f>
        <v>33.825</v>
      </c>
      <c r="F30" s="160">
        <f>(57*2.5%)+57</f>
        <v>58.425</v>
      </c>
      <c r="G30" s="136">
        <f>(83*2.5%)+83</f>
        <v>85.075</v>
      </c>
      <c r="H30" s="132"/>
    </row>
    <row r="31" spans="2:8" ht="18.75">
      <c r="B31" s="325"/>
      <c r="C31" s="297" t="s">
        <v>13</v>
      </c>
      <c r="D31" s="187" t="s">
        <v>22</v>
      </c>
      <c r="E31" s="138">
        <f>(43.8*2.5%)+43.8</f>
        <v>44.894999999999996</v>
      </c>
      <c r="F31" s="158">
        <f>(80.4*2.5%)+80.4</f>
        <v>82.41000000000001</v>
      </c>
      <c r="G31" s="153">
        <f>(112.8*2.5%)+112.8</f>
        <v>115.62</v>
      </c>
      <c r="H31" s="127"/>
    </row>
    <row r="32" spans="2:10" ht="19.5" thickBot="1">
      <c r="B32" s="326"/>
      <c r="C32" s="320"/>
      <c r="D32" s="142" t="s">
        <v>23</v>
      </c>
      <c r="E32" s="143">
        <f>(36.5*2.5%)+36.5</f>
        <v>37.4125</v>
      </c>
      <c r="F32" s="155">
        <f>(67*2.5%)+67</f>
        <v>68.675</v>
      </c>
      <c r="G32" s="156">
        <f>(94*2.5%)+94</f>
        <v>96.35</v>
      </c>
      <c r="H32" s="132"/>
      <c r="J32" s="172"/>
    </row>
    <row r="33" spans="1:8" ht="20.25" thickBot="1">
      <c r="A33" s="146"/>
      <c r="B33" s="338" t="s">
        <v>49</v>
      </c>
      <c r="C33" s="338"/>
      <c r="D33" s="338"/>
      <c r="E33" s="338"/>
      <c r="F33" s="338"/>
      <c r="G33" s="147"/>
      <c r="H33" s="147"/>
    </row>
    <row r="34" spans="2:8" ht="15.75" customHeight="1">
      <c r="B34" s="324" t="s">
        <v>12</v>
      </c>
      <c r="C34" s="294" t="s">
        <v>21</v>
      </c>
      <c r="D34" s="186" t="s">
        <v>22</v>
      </c>
      <c r="E34" s="124">
        <f>(24*2.5%)+24</f>
        <v>24.6</v>
      </c>
      <c r="F34" s="149">
        <f>(38.5*2.5%)+38.5</f>
        <v>39.4625</v>
      </c>
      <c r="G34" s="126">
        <f>(57*2.5%)+57</f>
        <v>58.425</v>
      </c>
      <c r="H34" s="127"/>
    </row>
    <row r="35" spans="2:8" ht="18.75">
      <c r="B35" s="325"/>
      <c r="C35" s="296"/>
      <c r="D35" s="137" t="s">
        <v>23</v>
      </c>
      <c r="E35" s="134">
        <f>(20*2.5%)+20</f>
        <v>20.5</v>
      </c>
      <c r="F35" s="160">
        <f>(32.1*2.5%)+32.1</f>
        <v>32.9025</v>
      </c>
      <c r="G35" s="136">
        <f>(45.7*2.5%)+45.7</f>
        <v>46.8425</v>
      </c>
      <c r="H35" s="132"/>
    </row>
    <row r="36" spans="2:8" ht="18.75">
      <c r="B36" s="325"/>
      <c r="C36" s="297" t="s">
        <v>13</v>
      </c>
      <c r="D36" s="187" t="s">
        <v>22</v>
      </c>
      <c r="E36" s="138">
        <f>(25.8*2.5%)+25.8</f>
        <v>26.445</v>
      </c>
      <c r="F36" s="158">
        <f>(41.2*2.5%)+41.2</f>
        <v>42.230000000000004</v>
      </c>
      <c r="G36" s="153">
        <f>(60*2.5%)+60</f>
        <v>61.5</v>
      </c>
      <c r="H36" s="127"/>
    </row>
    <row r="37" spans="2:8" ht="19.5" thickBot="1">
      <c r="B37" s="326"/>
      <c r="C37" s="320"/>
      <c r="D37" s="142" t="s">
        <v>23</v>
      </c>
      <c r="E37" s="143">
        <f>(21.5*2.5%)+21.5</f>
        <v>22.0375</v>
      </c>
      <c r="F37" s="155">
        <f>(34.3*2.5%)+34.3</f>
        <v>35.1575</v>
      </c>
      <c r="G37" s="156">
        <f>(50*2.5%)+50</f>
        <v>51.25</v>
      </c>
      <c r="H37" s="132"/>
    </row>
    <row r="38" spans="1:8" ht="19.5" customHeight="1">
      <c r="A38" s="157"/>
      <c r="B38" s="339" t="s">
        <v>3</v>
      </c>
      <c r="C38" s="341" t="s">
        <v>5</v>
      </c>
      <c r="D38" s="341" t="s">
        <v>4</v>
      </c>
      <c r="E38" s="343" t="s">
        <v>381</v>
      </c>
      <c r="F38" s="343"/>
      <c r="G38" s="344"/>
      <c r="H38" s="108"/>
    </row>
    <row r="39" spans="1:8" ht="35.25" customHeight="1" thickBot="1">
      <c r="A39" s="157"/>
      <c r="B39" s="340"/>
      <c r="C39" s="342"/>
      <c r="D39" s="342"/>
      <c r="E39" s="197" t="s">
        <v>91</v>
      </c>
      <c r="F39" s="198" t="s">
        <v>92</v>
      </c>
      <c r="G39" s="199" t="s">
        <v>93</v>
      </c>
      <c r="H39" s="108"/>
    </row>
    <row r="40" spans="1:8" ht="19.5">
      <c r="A40" s="146"/>
      <c r="B40" s="282" t="s">
        <v>97</v>
      </c>
      <c r="C40" s="282"/>
      <c r="D40" s="282"/>
      <c r="E40" s="282"/>
      <c r="F40" s="282"/>
      <c r="G40" s="282"/>
      <c r="H40" s="147"/>
    </row>
    <row r="41" spans="1:8" ht="20.25" thickBot="1">
      <c r="A41" s="146"/>
      <c r="B41" s="280" t="s">
        <v>51</v>
      </c>
      <c r="C41" s="280"/>
      <c r="D41" s="280"/>
      <c r="E41" s="280"/>
      <c r="F41" s="280"/>
      <c r="G41" s="280"/>
      <c r="H41" s="147"/>
    </row>
    <row r="42" spans="2:8" ht="18.75">
      <c r="B42" s="324" t="s">
        <v>52</v>
      </c>
      <c r="C42" s="294" t="s">
        <v>21</v>
      </c>
      <c r="D42" s="186" t="s">
        <v>22</v>
      </c>
      <c r="E42" s="124">
        <f>(25.8*2.5%)+25.8</f>
        <v>26.445</v>
      </c>
      <c r="F42" s="149">
        <f>(39.1*2.5%)+39.1</f>
        <v>40.0775</v>
      </c>
      <c r="G42" s="126">
        <f>(58.6*2.5%)+58.6</f>
        <v>60.065000000000005</v>
      </c>
      <c r="H42" s="127"/>
    </row>
    <row r="43" spans="2:8" ht="18.75">
      <c r="B43" s="325"/>
      <c r="C43" s="296"/>
      <c r="D43" s="137" t="s">
        <v>23</v>
      </c>
      <c r="E43" s="134">
        <f>(21.5*2.5%)+21.5</f>
        <v>22.0375</v>
      </c>
      <c r="F43" s="160">
        <f>(32.6*2.5%)+32.6</f>
        <v>33.415</v>
      </c>
      <c r="G43" s="136">
        <f>(48.8*2.5%)+48.8</f>
        <v>50.019999999999996</v>
      </c>
      <c r="H43" s="132"/>
    </row>
    <row r="44" spans="2:8" ht="18.75">
      <c r="B44" s="325"/>
      <c r="C44" s="297" t="s">
        <v>13</v>
      </c>
      <c r="D44" s="187" t="s">
        <v>22</v>
      </c>
      <c r="E44" s="138">
        <f>(28*2.5%)+28</f>
        <v>28.7</v>
      </c>
      <c r="F44" s="158">
        <f>(42.6*2.5%)+42.6</f>
        <v>43.665</v>
      </c>
      <c r="G44" s="153">
        <f>(62.8*2.5%)+62.8</f>
        <v>64.36999999999999</v>
      </c>
      <c r="H44" s="127"/>
    </row>
    <row r="45" spans="2:8" ht="19.5" thickBot="1">
      <c r="B45" s="326"/>
      <c r="C45" s="320"/>
      <c r="D45" s="142" t="s">
        <v>23</v>
      </c>
      <c r="E45" s="143">
        <f>(23.3*2.5%)+23.3</f>
        <v>23.8825</v>
      </c>
      <c r="F45" s="155">
        <f>(35.5*2.5%)+35.5</f>
        <v>36.3875</v>
      </c>
      <c r="G45" s="156">
        <f>(52.3*2.5%)+52.3</f>
        <v>53.607499999999995</v>
      </c>
      <c r="H45" s="132"/>
    </row>
    <row r="46" spans="1:8" ht="39.75" customHeight="1">
      <c r="A46" s="157"/>
      <c r="B46" s="281" t="s">
        <v>53</v>
      </c>
      <c r="C46" s="281"/>
      <c r="D46" s="281"/>
      <c r="E46" s="281"/>
      <c r="F46" s="281"/>
      <c r="G46" s="281"/>
      <c r="H46" s="75"/>
    </row>
    <row r="47" spans="1:8" ht="20.25" thickBot="1">
      <c r="A47" s="146"/>
      <c r="B47" s="280" t="s">
        <v>54</v>
      </c>
      <c r="C47" s="280"/>
      <c r="D47" s="279"/>
      <c r="E47" s="280"/>
      <c r="F47" s="280"/>
      <c r="G47" s="280"/>
      <c r="H47" s="147"/>
    </row>
    <row r="48" spans="2:8" ht="15.75" customHeight="1">
      <c r="B48" s="324" t="s">
        <v>56</v>
      </c>
      <c r="C48" s="294" t="s">
        <v>38</v>
      </c>
      <c r="D48" s="123" t="s">
        <v>22</v>
      </c>
      <c r="E48" s="327">
        <f>(13.8*2.5%)+13.8</f>
        <v>14.145000000000001</v>
      </c>
      <c r="F48" s="307">
        <f>(30.3*2.5%)+30.3</f>
        <v>31.0575</v>
      </c>
      <c r="G48" s="329">
        <f>(52.3*2.5%)+52.3</f>
        <v>53.607499999999995</v>
      </c>
      <c r="H48" s="162"/>
    </row>
    <row r="49" spans="2:8" ht="18.75">
      <c r="B49" s="325"/>
      <c r="C49" s="296"/>
      <c r="D49" s="128" t="s">
        <v>23</v>
      </c>
      <c r="E49" s="328"/>
      <c r="F49" s="331"/>
      <c r="G49" s="330"/>
      <c r="H49" s="162"/>
    </row>
    <row r="50" spans="2:8" ht="25.5" customHeight="1" thickBot="1">
      <c r="B50" s="326"/>
      <c r="C50" s="188" t="s">
        <v>55</v>
      </c>
      <c r="D50" s="196" t="s">
        <v>29</v>
      </c>
      <c r="E50" s="189">
        <f>(13*2.5%)+13</f>
        <v>13.325</v>
      </c>
      <c r="F50" s="190">
        <f>(26.5*2.5%)+26.5</f>
        <v>27.1625</v>
      </c>
      <c r="G50" s="191">
        <f>(46.7*2.5%)+46.7</f>
        <v>47.8675</v>
      </c>
      <c r="H50" s="132"/>
    </row>
    <row r="51" spans="2:8" ht="16.5" customHeight="1">
      <c r="B51" s="279" t="s">
        <v>57</v>
      </c>
      <c r="C51" s="279"/>
      <c r="D51" s="279"/>
      <c r="E51" s="279"/>
      <c r="F51" s="279"/>
      <c r="G51" s="279"/>
      <c r="H51" s="121"/>
    </row>
    <row r="52" spans="2:8" ht="40.5" customHeight="1">
      <c r="B52" s="323" t="s">
        <v>98</v>
      </c>
      <c r="C52" s="323"/>
      <c r="D52" s="323"/>
      <c r="E52" s="323"/>
      <c r="F52" s="323"/>
      <c r="G52" s="323"/>
      <c r="H52" s="121"/>
    </row>
    <row r="53" spans="2:8" ht="24.75" customHeight="1" thickBot="1">
      <c r="B53" s="332" t="s">
        <v>43</v>
      </c>
      <c r="C53" s="332"/>
      <c r="D53" s="332"/>
      <c r="E53" s="332"/>
      <c r="F53" s="332"/>
      <c r="G53" s="332"/>
      <c r="H53" s="121"/>
    </row>
    <row r="54" spans="2:8" ht="39.75" customHeight="1" thickBot="1">
      <c r="B54" s="192" t="s">
        <v>59</v>
      </c>
      <c r="C54" s="167" t="s">
        <v>58</v>
      </c>
      <c r="D54" s="193" t="s">
        <v>23</v>
      </c>
      <c r="E54" s="194">
        <f>(16.9*2.5%)+16.9</f>
        <v>17.322499999999998</v>
      </c>
      <c r="F54" s="170">
        <f>(28*2.5%)+28</f>
        <v>28.7</v>
      </c>
      <c r="G54" s="171">
        <f>(48*2.5%)+48</f>
        <v>49.2</v>
      </c>
      <c r="H54" s="162"/>
    </row>
    <row r="55" spans="1:8" ht="20.25" thickBot="1">
      <c r="A55" s="146"/>
      <c r="B55" s="334" t="s">
        <v>44</v>
      </c>
      <c r="C55" s="334"/>
      <c r="D55" s="334"/>
      <c r="E55" s="334"/>
      <c r="F55" s="334"/>
      <c r="G55" s="334"/>
      <c r="H55" s="147"/>
    </row>
    <row r="56" spans="2:8" ht="39" customHeight="1" thickBot="1">
      <c r="B56" s="192" t="s">
        <v>59</v>
      </c>
      <c r="C56" s="167" t="s">
        <v>58</v>
      </c>
      <c r="D56" s="193" t="s">
        <v>23</v>
      </c>
      <c r="E56" s="195">
        <f>(14.5*2.5%)+14.5</f>
        <v>14.8625</v>
      </c>
      <c r="F56" s="170">
        <f>(24*2.5%)+24</f>
        <v>24.6</v>
      </c>
      <c r="G56" s="171">
        <f>(38.3*2.5%)+38.3</f>
        <v>39.2575</v>
      </c>
      <c r="H56" s="162"/>
    </row>
    <row r="58" spans="5:6" ht="18.75">
      <c r="E58" s="172"/>
      <c r="F58" s="172"/>
    </row>
  </sheetData>
  <sheetProtection/>
  <mergeCells count="49">
    <mergeCell ref="B3:B4"/>
    <mergeCell ref="C3:C4"/>
    <mergeCell ref="D3:D4"/>
    <mergeCell ref="B47:G47"/>
    <mergeCell ref="B38:B39"/>
    <mergeCell ref="C38:C39"/>
    <mergeCell ref="D38:D39"/>
    <mergeCell ref="E38:G38"/>
    <mergeCell ref="E3:G3"/>
    <mergeCell ref="B8:B16"/>
    <mergeCell ref="B5:G5"/>
    <mergeCell ref="B6:G6"/>
    <mergeCell ref="B7:G7"/>
    <mergeCell ref="C21:C23"/>
    <mergeCell ref="B26:B27"/>
    <mergeCell ref="C34:C35"/>
    <mergeCell ref="C8:C10"/>
    <mergeCell ref="C11:C13"/>
    <mergeCell ref="C14:C16"/>
    <mergeCell ref="B33:F33"/>
    <mergeCell ref="B17:G17"/>
    <mergeCell ref="B24:G24"/>
    <mergeCell ref="B25:G25"/>
    <mergeCell ref="C44:C45"/>
    <mergeCell ref="B40:G40"/>
    <mergeCell ref="B41:G41"/>
    <mergeCell ref="B18:B23"/>
    <mergeCell ref="C18:C20"/>
    <mergeCell ref="C42:C43"/>
    <mergeCell ref="B53:G53"/>
    <mergeCell ref="B28:G28"/>
    <mergeCell ref="B55:G55"/>
    <mergeCell ref="B1:G1"/>
    <mergeCell ref="B2:G2"/>
    <mergeCell ref="B48:B50"/>
    <mergeCell ref="C48:C49"/>
    <mergeCell ref="C26:C27"/>
    <mergeCell ref="B51:G51"/>
    <mergeCell ref="B34:B37"/>
    <mergeCell ref="B52:G52"/>
    <mergeCell ref="C31:C32"/>
    <mergeCell ref="B29:B32"/>
    <mergeCell ref="C29:C30"/>
    <mergeCell ref="E48:E49"/>
    <mergeCell ref="G48:G49"/>
    <mergeCell ref="F48:F49"/>
    <mergeCell ref="C36:C37"/>
    <mergeCell ref="B42:B45"/>
    <mergeCell ref="B46:G46"/>
  </mergeCells>
  <printOptions/>
  <pageMargins left="0.15748031496062992" right="0.1968503937007874" top="0.2362204724409449" bottom="0.1968503937007874" header="0.2362204724409449" footer="0.15748031496062992"/>
  <pageSetup horizontalDpi="600" verticalDpi="600" orientation="portrait" paperSize="9" scale="98" r:id="rId1"/>
  <rowBreaks count="2" manualBreakCount="2">
    <brk id="37" max="6" man="1"/>
    <brk id="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H45"/>
  <sheetViews>
    <sheetView zoomScale="150" zoomScaleNormal="150" zoomScaleSheetLayoutView="80" zoomScalePageLayoutView="0" workbookViewId="0" topLeftCell="A34">
      <selection activeCell="G46" sqref="G46"/>
    </sheetView>
  </sheetViews>
  <sheetFormatPr defaultColWidth="9.00390625" defaultRowHeight="12.75"/>
  <cols>
    <col min="1" max="1" width="4.00390625" style="50" customWidth="1"/>
    <col min="2" max="2" width="15.00390625" style="50" customWidth="1"/>
    <col min="3" max="3" width="13.75390625" style="50" customWidth="1"/>
    <col min="4" max="4" width="16.375" style="50" customWidth="1"/>
    <col min="5" max="6" width="13.125" style="50" customWidth="1"/>
    <col min="7" max="7" width="24.75390625" style="50" customWidth="1"/>
    <col min="8" max="8" width="5.125" style="50" customWidth="1"/>
    <col min="9" max="16384" width="9.125" style="50" customWidth="1"/>
  </cols>
  <sheetData>
    <row r="1" spans="1:8" s="110" customFormat="1" ht="21" customHeight="1">
      <c r="A1" s="27"/>
      <c r="B1" s="356"/>
      <c r="C1" s="356"/>
      <c r="D1" s="356"/>
      <c r="E1" s="356"/>
      <c r="F1" s="356"/>
      <c r="G1" s="28"/>
      <c r="H1" s="28"/>
    </row>
    <row r="2" spans="1:8" ht="27" customHeight="1">
      <c r="A2" s="184"/>
      <c r="B2" s="335" t="s">
        <v>88</v>
      </c>
      <c r="C2" s="335"/>
      <c r="D2" s="335"/>
      <c r="E2" s="335"/>
      <c r="F2" s="335"/>
      <c r="G2" s="335"/>
      <c r="H2" s="29"/>
    </row>
    <row r="3" spans="1:8" ht="21" customHeight="1" thickBot="1">
      <c r="A3" s="116"/>
      <c r="B3" s="278" t="s">
        <v>10</v>
      </c>
      <c r="C3" s="278"/>
      <c r="D3" s="278"/>
      <c r="E3" s="278"/>
      <c r="F3" s="278"/>
      <c r="G3" s="278"/>
      <c r="H3" s="115"/>
    </row>
    <row r="4" spans="1:8" ht="21" customHeight="1">
      <c r="A4" s="146"/>
      <c r="B4" s="312" t="s">
        <v>3</v>
      </c>
      <c r="C4" s="298" t="s">
        <v>5</v>
      </c>
      <c r="D4" s="300" t="s">
        <v>4</v>
      </c>
      <c r="E4" s="351" t="s">
        <v>381</v>
      </c>
      <c r="F4" s="343"/>
      <c r="G4" s="344"/>
      <c r="H4" s="98"/>
    </row>
    <row r="5" spans="1:8" ht="24.75" customHeight="1" thickBot="1">
      <c r="A5" s="146"/>
      <c r="B5" s="340"/>
      <c r="C5" s="342"/>
      <c r="D5" s="352"/>
      <c r="E5" s="198" t="s">
        <v>91</v>
      </c>
      <c r="F5" s="198" t="s">
        <v>92</v>
      </c>
      <c r="G5" s="199" t="s">
        <v>93</v>
      </c>
      <c r="H5" s="98"/>
    </row>
    <row r="6" spans="2:8" ht="22.5" customHeight="1">
      <c r="B6" s="337" t="s">
        <v>2</v>
      </c>
      <c r="C6" s="337"/>
      <c r="D6" s="337"/>
      <c r="E6" s="337"/>
      <c r="F6" s="337"/>
      <c r="G6" s="337"/>
      <c r="H6" s="121"/>
    </row>
    <row r="7" spans="2:8" ht="41.25" customHeight="1">
      <c r="B7" s="323" t="s">
        <v>96</v>
      </c>
      <c r="C7" s="323"/>
      <c r="D7" s="323"/>
      <c r="E7" s="323"/>
      <c r="F7" s="323"/>
      <c r="G7" s="323"/>
      <c r="H7" s="121"/>
    </row>
    <row r="8" spans="2:8" ht="22.5" customHeight="1" thickBot="1">
      <c r="B8" s="337" t="s">
        <v>60</v>
      </c>
      <c r="C8" s="337"/>
      <c r="D8" s="337"/>
      <c r="E8" s="337"/>
      <c r="F8" s="337"/>
      <c r="G8" s="337"/>
      <c r="H8" s="121"/>
    </row>
    <row r="9" spans="2:8" ht="18.75">
      <c r="B9" s="315" t="s">
        <v>61</v>
      </c>
      <c r="C9" s="294" t="s">
        <v>16</v>
      </c>
      <c r="D9" s="186">
        <v>1</v>
      </c>
      <c r="E9" s="124">
        <f>(44*2.5%)+44</f>
        <v>45.1</v>
      </c>
      <c r="F9" s="125">
        <f>(69.2*2.5%)+69.2</f>
        <v>70.93</v>
      </c>
      <c r="G9" s="126">
        <f>(88.6*2.5%)+88.6</f>
        <v>90.815</v>
      </c>
      <c r="H9" s="127"/>
    </row>
    <row r="10" spans="2:8" ht="18.75">
      <c r="B10" s="316"/>
      <c r="C10" s="295"/>
      <c r="D10" s="137">
        <v>2</v>
      </c>
      <c r="E10" s="129">
        <f>(36.7*2.5%)+36.7</f>
        <v>37.6175</v>
      </c>
      <c r="F10" s="130">
        <f>(57.7*2.5%)+57.7</f>
        <v>59.142500000000005</v>
      </c>
      <c r="G10" s="131">
        <f>(73.8*2.5%)+73.8</f>
        <v>75.645</v>
      </c>
      <c r="H10" s="132"/>
    </row>
    <row r="11" spans="2:8" ht="18.75">
      <c r="B11" s="316"/>
      <c r="C11" s="296"/>
      <c r="D11" s="141">
        <v>3</v>
      </c>
      <c r="E11" s="134">
        <f>(29.4*2.5%)+29.4</f>
        <v>30.134999999999998</v>
      </c>
      <c r="F11" s="135">
        <f>(46.2*2.5%)+46.2</f>
        <v>47.355000000000004</v>
      </c>
      <c r="G11" s="136">
        <f>(59*2.5%)+59</f>
        <v>60.475</v>
      </c>
      <c r="H11" s="127"/>
    </row>
    <row r="12" spans="2:8" ht="18.75">
      <c r="B12" s="316"/>
      <c r="C12" s="297" t="s">
        <v>17</v>
      </c>
      <c r="D12" s="137">
        <v>1</v>
      </c>
      <c r="E12" s="138">
        <f>(65.8*2.5%)+65.8</f>
        <v>67.445</v>
      </c>
      <c r="F12" s="139">
        <f>(103.4*2.5%)+103.4</f>
        <v>105.985</v>
      </c>
      <c r="G12" s="140">
        <f>(133.6*2.5%)+133.6</f>
        <v>136.94</v>
      </c>
      <c r="H12" s="127"/>
    </row>
    <row r="13" spans="2:8" ht="18.75">
      <c r="B13" s="316"/>
      <c r="C13" s="295"/>
      <c r="D13" s="137">
        <v>2</v>
      </c>
      <c r="E13" s="129">
        <f>(54.8*2.5%)+54.8</f>
        <v>56.169999999999995</v>
      </c>
      <c r="F13" s="130">
        <f>(86.2*2.5%)+86.2</f>
        <v>88.355</v>
      </c>
      <c r="G13" s="131">
        <f>(111.3*2.5%)+111.3</f>
        <v>114.0825</v>
      </c>
      <c r="H13" s="132"/>
    </row>
    <row r="14" spans="2:8" ht="18.75">
      <c r="B14" s="316"/>
      <c r="C14" s="296"/>
      <c r="D14" s="141">
        <v>3</v>
      </c>
      <c r="E14" s="134">
        <f>(43.8*2.5%)+43.8</f>
        <v>44.894999999999996</v>
      </c>
      <c r="F14" s="135">
        <f>(69*2.5%)*69</f>
        <v>119.025</v>
      </c>
      <c r="G14" s="136">
        <f>(89*2.5%)+89</f>
        <v>91.225</v>
      </c>
      <c r="H14" s="127"/>
    </row>
    <row r="15" spans="2:8" ht="18.75">
      <c r="B15" s="316"/>
      <c r="C15" s="297" t="s">
        <v>62</v>
      </c>
      <c r="D15" s="137">
        <v>1</v>
      </c>
      <c r="E15" s="138">
        <f>(98.4*2.5%)+98.4</f>
        <v>100.86</v>
      </c>
      <c r="F15" s="139">
        <f>(147*2.5%)+147</f>
        <v>150.675</v>
      </c>
      <c r="G15" s="140">
        <f>(182*2.5%)+182</f>
        <v>186.55</v>
      </c>
      <c r="H15" s="127"/>
    </row>
    <row r="16" spans="2:8" ht="18.75">
      <c r="B16" s="316"/>
      <c r="C16" s="295"/>
      <c r="D16" s="137">
        <v>2</v>
      </c>
      <c r="E16" s="129">
        <f>(82*2.5%)+82</f>
        <v>84.05</v>
      </c>
      <c r="F16" s="130">
        <f>(122.5*2.5%)+122.5</f>
        <v>125.5625</v>
      </c>
      <c r="G16" s="131">
        <f>(151.7*2.5%)+151.7</f>
        <v>155.49249999999998</v>
      </c>
      <c r="H16" s="132"/>
    </row>
    <row r="17" spans="2:8" ht="18.75">
      <c r="B17" s="316"/>
      <c r="C17" s="296"/>
      <c r="D17" s="141">
        <v>3</v>
      </c>
      <c r="E17" s="134">
        <f>(65.6*2.5%)+65.6</f>
        <v>67.24</v>
      </c>
      <c r="F17" s="135">
        <f>(98*2.5%)+98</f>
        <v>100.45</v>
      </c>
      <c r="G17" s="136">
        <f>(121.4*2.5%)+121.4</f>
        <v>124.435</v>
      </c>
      <c r="H17" s="127"/>
    </row>
    <row r="18" spans="2:8" ht="18.75">
      <c r="B18" s="316"/>
      <c r="C18" s="297" t="s">
        <v>63</v>
      </c>
      <c r="D18" s="137">
        <v>1</v>
      </c>
      <c r="E18" s="138">
        <f>(117.1*2.5%)+117.1</f>
        <v>120.02749999999999</v>
      </c>
      <c r="F18" s="139">
        <f>(159.6*2.5%)+159.6</f>
        <v>163.59</v>
      </c>
      <c r="G18" s="140">
        <f>(195.6*2.5%)+195.6</f>
        <v>200.49</v>
      </c>
      <c r="H18" s="127"/>
    </row>
    <row r="19" spans="2:8" ht="18.75">
      <c r="B19" s="316"/>
      <c r="C19" s="295"/>
      <c r="D19" s="137">
        <v>2</v>
      </c>
      <c r="E19" s="129">
        <f>(97.6*2.5%)+97.6</f>
        <v>100.03999999999999</v>
      </c>
      <c r="F19" s="130">
        <f>(133.3*2.5%)+133.3</f>
        <v>136.63250000000002</v>
      </c>
      <c r="G19" s="131">
        <f>(163*2.5%)+163</f>
        <v>167.075</v>
      </c>
      <c r="H19" s="132"/>
    </row>
    <row r="20" spans="2:8" ht="19.5" thickBot="1">
      <c r="B20" s="317"/>
      <c r="C20" s="320"/>
      <c r="D20" s="142">
        <v>3</v>
      </c>
      <c r="E20" s="203">
        <f>(78.1*2.5%)+78.1</f>
        <v>80.0525</v>
      </c>
      <c r="F20" s="200">
        <f>(106.4*2.5%)+106.4</f>
        <v>109.06</v>
      </c>
      <c r="G20" s="204">
        <f>(130.4*2.5%)+130.4</f>
        <v>133.66</v>
      </c>
      <c r="H20" s="185"/>
    </row>
    <row r="21" spans="1:8" ht="18.75">
      <c r="A21" s="157"/>
      <c r="B21" s="279" t="s">
        <v>64</v>
      </c>
      <c r="C21" s="279"/>
      <c r="D21" s="279"/>
      <c r="E21" s="279"/>
      <c r="F21" s="279"/>
      <c r="G21" s="279"/>
      <c r="H21" s="75"/>
    </row>
    <row r="22" spans="1:8" ht="20.25" thickBot="1">
      <c r="A22" s="146"/>
      <c r="B22" s="350" t="s">
        <v>99</v>
      </c>
      <c r="C22" s="350"/>
      <c r="D22" s="350"/>
      <c r="E22" s="350"/>
      <c r="F22" s="350"/>
      <c r="G22" s="350"/>
      <c r="H22" s="95"/>
    </row>
    <row r="23" spans="2:8" ht="18.75">
      <c r="B23" s="324" t="s">
        <v>65</v>
      </c>
      <c r="C23" s="294" t="s">
        <v>66</v>
      </c>
      <c r="D23" s="186" t="s">
        <v>22</v>
      </c>
      <c r="E23" s="124">
        <f>(171.6*2.5%)+171.6</f>
        <v>175.89</v>
      </c>
      <c r="F23" s="125">
        <f>(231*2.5%)+231</f>
        <v>236.775</v>
      </c>
      <c r="G23" s="126">
        <f>(307.2*2.5%)+307.2</f>
        <v>314.88</v>
      </c>
      <c r="H23" s="205"/>
    </row>
    <row r="24" spans="2:8" ht="18.75">
      <c r="B24" s="325"/>
      <c r="C24" s="296"/>
      <c r="D24" s="137" t="s">
        <v>23</v>
      </c>
      <c r="E24" s="134">
        <f>(143*2.5%)+143</f>
        <v>146.575</v>
      </c>
      <c r="F24" s="135">
        <f>(192.5*2.5%)+192.5</f>
        <v>197.3125</v>
      </c>
      <c r="G24" s="136">
        <f>(256*2.5%)+256</f>
        <v>262.4</v>
      </c>
      <c r="H24" s="88"/>
    </row>
    <row r="25" spans="2:8" ht="18.75">
      <c r="B25" s="325"/>
      <c r="C25" s="297" t="s">
        <v>63</v>
      </c>
      <c r="D25" s="187" t="s">
        <v>22</v>
      </c>
      <c r="E25" s="138">
        <f>(184.8*2.5%)+184.8</f>
        <v>189.42000000000002</v>
      </c>
      <c r="F25" s="139">
        <f>(245.4*2.5%)+245.4</f>
        <v>251.535</v>
      </c>
      <c r="G25" s="158">
        <f>(330*2.5%)+330</f>
        <v>338.25</v>
      </c>
      <c r="H25" s="205"/>
    </row>
    <row r="26" spans="2:8" ht="19.5" thickBot="1">
      <c r="B26" s="326"/>
      <c r="C26" s="320"/>
      <c r="D26" s="142" t="s">
        <v>23</v>
      </c>
      <c r="E26" s="143">
        <f>(154*2.5%)+154</f>
        <v>157.85</v>
      </c>
      <c r="F26" s="144">
        <f>(204.5*2.5%)+204.5</f>
        <v>209.6125</v>
      </c>
      <c r="G26" s="160">
        <f>(275*2.5%)+275</f>
        <v>281.875</v>
      </c>
      <c r="H26" s="88"/>
    </row>
    <row r="27" spans="1:8" ht="18.75">
      <c r="A27" s="157"/>
      <c r="B27" s="282" t="s">
        <v>68</v>
      </c>
      <c r="C27" s="282"/>
      <c r="D27" s="282"/>
      <c r="E27" s="282"/>
      <c r="F27" s="282"/>
      <c r="G27" s="282"/>
      <c r="H27" s="75"/>
    </row>
    <row r="28" spans="1:8" ht="40.5" customHeight="1">
      <c r="A28" s="146"/>
      <c r="B28" s="323" t="s">
        <v>98</v>
      </c>
      <c r="C28" s="323"/>
      <c r="D28" s="323"/>
      <c r="E28" s="323"/>
      <c r="F28" s="323"/>
      <c r="G28" s="323"/>
      <c r="H28" s="95"/>
    </row>
    <row r="29" spans="1:8" ht="20.25" thickBot="1">
      <c r="A29" s="146"/>
      <c r="B29" s="279" t="s">
        <v>60</v>
      </c>
      <c r="C29" s="279"/>
      <c r="D29" s="279"/>
      <c r="E29" s="279"/>
      <c r="F29" s="279"/>
      <c r="G29" s="279"/>
      <c r="H29" s="147"/>
    </row>
    <row r="30" spans="2:8" ht="38.25" thickBot="1">
      <c r="B30" s="192" t="s">
        <v>59</v>
      </c>
      <c r="C30" s="167" t="s">
        <v>58</v>
      </c>
      <c r="D30" s="193" t="s">
        <v>23</v>
      </c>
      <c r="E30" s="195">
        <f>(37.7*2.5%)+37.7</f>
        <v>38.642500000000005</v>
      </c>
      <c r="F30" s="170">
        <f>(49.5*2.5%)+49.5</f>
        <v>50.7375</v>
      </c>
      <c r="G30" s="171">
        <f>(74*2.5%)+74</f>
        <v>75.85</v>
      </c>
      <c r="H30" s="162"/>
    </row>
    <row r="31" spans="1:8" ht="18.75">
      <c r="A31" s="157"/>
      <c r="B31" s="282" t="s">
        <v>382</v>
      </c>
      <c r="C31" s="282"/>
      <c r="D31" s="282"/>
      <c r="E31" s="282"/>
      <c r="F31" s="282"/>
      <c r="G31" s="282"/>
      <c r="H31" s="75"/>
    </row>
    <row r="32" spans="1:8" ht="19.5">
      <c r="A32" s="146"/>
      <c r="B32" s="279" t="s">
        <v>80</v>
      </c>
      <c r="C32" s="279"/>
      <c r="D32" s="279"/>
      <c r="E32" s="279"/>
      <c r="F32" s="279"/>
      <c r="G32" s="279"/>
      <c r="H32" s="147"/>
    </row>
    <row r="33" spans="2:8" ht="78" customHeight="1">
      <c r="B33" s="109" t="s">
        <v>81</v>
      </c>
      <c r="C33" s="196" t="s">
        <v>82</v>
      </c>
      <c r="D33" s="208" t="s">
        <v>78</v>
      </c>
      <c r="E33" s="209">
        <f>(15*2.5%)+15</f>
        <v>15.375</v>
      </c>
      <c r="F33" s="210">
        <f>(29.6*2.5%)+29.6</f>
        <v>30.34</v>
      </c>
      <c r="G33" s="211">
        <f>(50*2.5%)+50</f>
        <v>51.25</v>
      </c>
      <c r="H33" s="162"/>
    </row>
    <row r="34" spans="1:8" ht="21" customHeight="1">
      <c r="A34" s="146"/>
      <c r="B34" s="299" t="s">
        <v>3</v>
      </c>
      <c r="C34" s="299" t="s">
        <v>5</v>
      </c>
      <c r="D34" s="301" t="s">
        <v>4</v>
      </c>
      <c r="E34" s="283" t="s">
        <v>381</v>
      </c>
      <c r="F34" s="284"/>
      <c r="G34" s="285"/>
      <c r="H34" s="98"/>
    </row>
    <row r="35" spans="1:8" ht="24.75" customHeight="1">
      <c r="A35" s="146"/>
      <c r="B35" s="348"/>
      <c r="C35" s="348"/>
      <c r="D35" s="353"/>
      <c r="E35" s="183" t="s">
        <v>91</v>
      </c>
      <c r="F35" s="183" t="s">
        <v>92</v>
      </c>
      <c r="G35" s="182" t="s">
        <v>93</v>
      </c>
      <c r="H35" s="98"/>
    </row>
    <row r="36" spans="1:8" ht="32.25" customHeight="1">
      <c r="A36" s="184"/>
      <c r="B36" s="354" t="s">
        <v>383</v>
      </c>
      <c r="C36" s="354"/>
      <c r="D36" s="354"/>
      <c r="E36" s="354"/>
      <c r="F36" s="354"/>
      <c r="G36" s="354"/>
      <c r="H36" s="206"/>
    </row>
    <row r="37" spans="1:8" ht="27.75" customHeight="1" thickBot="1">
      <c r="A37" s="116"/>
      <c r="B37" s="277" t="s">
        <v>85</v>
      </c>
      <c r="C37" s="277"/>
      <c r="D37" s="277"/>
      <c r="E37" s="277"/>
      <c r="F37" s="277"/>
      <c r="G37" s="277"/>
      <c r="H37" s="207"/>
    </row>
    <row r="38" spans="2:8" ht="15.75" customHeight="1">
      <c r="B38" s="315" t="s">
        <v>39</v>
      </c>
      <c r="C38" s="294" t="s">
        <v>72</v>
      </c>
      <c r="D38" s="349" t="s">
        <v>75</v>
      </c>
      <c r="E38" s="307">
        <f>(12*2.5%)+12</f>
        <v>12.3</v>
      </c>
      <c r="F38" s="307">
        <f>(20.4*2.5%)+20.4</f>
        <v>20.91</v>
      </c>
      <c r="G38" s="329">
        <f>(31.5*2.5%)+31.5</f>
        <v>32.2875</v>
      </c>
      <c r="H38" s="162"/>
    </row>
    <row r="39" spans="2:8" ht="48.75" customHeight="1">
      <c r="B39" s="316"/>
      <c r="C39" s="296"/>
      <c r="D39" s="346"/>
      <c r="E39" s="331"/>
      <c r="F39" s="331"/>
      <c r="G39" s="330"/>
      <c r="H39" s="162"/>
    </row>
    <row r="40" spans="2:8" ht="15" customHeight="1">
      <c r="B40" s="316"/>
      <c r="C40" s="297" t="s">
        <v>73</v>
      </c>
      <c r="D40" s="345" t="s">
        <v>76</v>
      </c>
      <c r="E40" s="355">
        <f>(10.6*2.5%)+10.6</f>
        <v>10.865</v>
      </c>
      <c r="F40" s="355">
        <f>(18.6*2.5%)+18.6</f>
        <v>19.065</v>
      </c>
      <c r="G40" s="357">
        <f>(29.3*2.5%)+29.3</f>
        <v>30.032500000000002</v>
      </c>
      <c r="H40" s="162"/>
    </row>
    <row r="41" spans="2:8" ht="51" customHeight="1">
      <c r="B41" s="316"/>
      <c r="C41" s="296"/>
      <c r="D41" s="346"/>
      <c r="E41" s="331"/>
      <c r="F41" s="331"/>
      <c r="G41" s="330"/>
      <c r="H41" s="162"/>
    </row>
    <row r="42" spans="2:8" ht="15" customHeight="1">
      <c r="B42" s="316"/>
      <c r="C42" s="297" t="s">
        <v>73</v>
      </c>
      <c r="D42" s="345" t="s">
        <v>77</v>
      </c>
      <c r="E42" s="355">
        <f>(9*2.5%)+9</f>
        <v>9.225</v>
      </c>
      <c r="F42" s="355">
        <f>(14.8*2.5%)+14.8</f>
        <v>15.17</v>
      </c>
      <c r="G42" s="357">
        <f>(24.4*2.5%)+24.4</f>
        <v>25.009999999999998</v>
      </c>
      <c r="H42" s="162"/>
    </row>
    <row r="43" spans="2:8" ht="38.25" customHeight="1">
      <c r="B43" s="316"/>
      <c r="C43" s="296"/>
      <c r="D43" s="346"/>
      <c r="E43" s="331"/>
      <c r="F43" s="331"/>
      <c r="G43" s="330"/>
      <c r="H43" s="162"/>
    </row>
    <row r="44" spans="2:8" ht="15" customHeight="1">
      <c r="B44" s="316"/>
      <c r="C44" s="297" t="s">
        <v>73</v>
      </c>
      <c r="D44" s="345" t="s">
        <v>78</v>
      </c>
      <c r="E44" s="355">
        <f>(31.9*2.5%)+31.9</f>
        <v>32.6975</v>
      </c>
      <c r="F44" s="355">
        <f>(48*2.5%)+48</f>
        <v>49.2</v>
      </c>
      <c r="G44" s="358">
        <f>(67.5*2.5%)+67.5</f>
        <v>69.1875</v>
      </c>
      <c r="H44" s="162"/>
    </row>
    <row r="45" spans="2:8" ht="39.75" customHeight="1" thickBot="1">
      <c r="B45" s="317"/>
      <c r="C45" s="320"/>
      <c r="D45" s="347"/>
      <c r="E45" s="308"/>
      <c r="F45" s="308"/>
      <c r="G45" s="306"/>
      <c r="H45" s="162"/>
    </row>
  </sheetData>
  <sheetProtection/>
  <mergeCells count="52">
    <mergeCell ref="F44:F45"/>
    <mergeCell ref="E38:E39"/>
    <mergeCell ref="G38:G39"/>
    <mergeCell ref="B31:G31"/>
    <mergeCell ref="B7:G7"/>
    <mergeCell ref="B23:B26"/>
    <mergeCell ref="C23:C24"/>
    <mergeCell ref="G42:G43"/>
    <mergeCell ref="G44:G45"/>
    <mergeCell ref="E44:E45"/>
    <mergeCell ref="F38:F39"/>
    <mergeCell ref="F40:F41"/>
    <mergeCell ref="B37:G37"/>
    <mergeCell ref="B27:G27"/>
    <mergeCell ref="B28:G28"/>
    <mergeCell ref="B29:G29"/>
    <mergeCell ref="G40:G41"/>
    <mergeCell ref="C38:C39"/>
    <mergeCell ref="F42:F43"/>
    <mergeCell ref="B1:F1"/>
    <mergeCell ref="B9:B20"/>
    <mergeCell ref="C9:C11"/>
    <mergeCell ref="C12:C14"/>
    <mergeCell ref="C15:C17"/>
    <mergeCell ref="E42:E43"/>
    <mergeCell ref="B32:G32"/>
    <mergeCell ref="E40:E41"/>
    <mergeCell ref="C4:C5"/>
    <mergeCell ref="D4:D5"/>
    <mergeCell ref="C18:C20"/>
    <mergeCell ref="B6:G6"/>
    <mergeCell ref="B8:G8"/>
    <mergeCell ref="D34:D35"/>
    <mergeCell ref="B36:G36"/>
    <mergeCell ref="B21:G21"/>
    <mergeCell ref="B2:G2"/>
    <mergeCell ref="B3:G3"/>
    <mergeCell ref="B4:B5"/>
    <mergeCell ref="C40:C41"/>
    <mergeCell ref="D40:D41"/>
    <mergeCell ref="B22:G22"/>
    <mergeCell ref="E34:G34"/>
    <mergeCell ref="C25:C26"/>
    <mergeCell ref="E4:G4"/>
    <mergeCell ref="B38:B45"/>
    <mergeCell ref="D42:D43"/>
    <mergeCell ref="C44:C45"/>
    <mergeCell ref="D44:D45"/>
    <mergeCell ref="B34:B35"/>
    <mergeCell ref="C34:C35"/>
    <mergeCell ref="D38:D39"/>
    <mergeCell ref="C42:C43"/>
  </mergeCells>
  <printOptions/>
  <pageMargins left="0.15748031496062992" right="0.1968503937007874" top="0.2362204724409449" bottom="0.2362204724409449" header="0.1968503937007874" footer="0.15748031496062992"/>
  <pageSetup horizontalDpi="600" verticalDpi="600" orientation="portrait" paperSize="9" r:id="rId1"/>
  <rowBreaks count="2" manualBreakCount="2">
    <brk id="33" max="6" man="1"/>
    <brk id="4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F2" sqref="F2:H4"/>
    </sheetView>
  </sheetViews>
  <sheetFormatPr defaultColWidth="9.00390625" defaultRowHeight="12.75"/>
  <cols>
    <col min="1" max="1" width="2.75390625" style="50" customWidth="1"/>
    <col min="2" max="2" width="5.375" style="50" customWidth="1"/>
    <col min="3" max="3" width="17.25390625" style="50" customWidth="1"/>
    <col min="4" max="4" width="20.25390625" style="50" customWidth="1"/>
    <col min="5" max="5" width="12.625" style="50" customWidth="1"/>
    <col min="6" max="6" width="13.75390625" style="50" customWidth="1"/>
    <col min="7" max="7" width="14.625" style="50" customWidth="1"/>
    <col min="8" max="8" width="20.25390625" style="50" customWidth="1"/>
    <col min="9" max="16384" width="9.125" style="50" customWidth="1"/>
  </cols>
  <sheetData>
    <row r="1" spans="4:9" ht="18.75">
      <c r="D1" s="96"/>
      <c r="E1" s="96"/>
      <c r="F1" s="96"/>
      <c r="G1" s="287"/>
      <c r="H1" s="287"/>
      <c r="I1" s="96"/>
    </row>
    <row r="2" spans="4:9" ht="18.75" customHeight="1">
      <c r="D2" s="96"/>
      <c r="E2" s="97"/>
      <c r="F2" s="287"/>
      <c r="G2" s="287"/>
      <c r="H2" s="287"/>
      <c r="I2" s="96"/>
    </row>
    <row r="3" spans="4:9" ht="18.75" customHeight="1">
      <c r="D3" s="96"/>
      <c r="E3" s="96"/>
      <c r="F3" s="318"/>
      <c r="G3" s="318"/>
      <c r="H3" s="318"/>
      <c r="I3" s="96"/>
    </row>
    <row r="4" spans="4:9" ht="18.75" customHeight="1">
      <c r="D4" s="96"/>
      <c r="E4" s="105"/>
      <c r="F4" s="319"/>
      <c r="G4" s="319"/>
      <c r="H4" s="319"/>
      <c r="I4" s="96"/>
    </row>
    <row r="5" spans="6:7" ht="20.25" customHeight="1">
      <c r="F5" s="96"/>
      <c r="G5" s="96"/>
    </row>
    <row r="6" spans="2:8" ht="18.75">
      <c r="B6" s="350" t="s">
        <v>101</v>
      </c>
      <c r="C6" s="350"/>
      <c r="D6" s="350"/>
      <c r="E6" s="350"/>
      <c r="F6" s="350"/>
      <c r="G6" s="350"/>
      <c r="H6" s="350"/>
    </row>
    <row r="7" spans="2:8" ht="101.25" customHeight="1">
      <c r="B7" s="371" t="s">
        <v>115</v>
      </c>
      <c r="C7" s="371"/>
      <c r="D7" s="371"/>
      <c r="E7" s="371"/>
      <c r="F7" s="371"/>
      <c r="G7" s="371"/>
      <c r="H7" s="371"/>
    </row>
    <row r="8" spans="2:8" ht="18.75">
      <c r="B8" s="350" t="s">
        <v>102</v>
      </c>
      <c r="C8" s="350"/>
      <c r="D8" s="350"/>
      <c r="E8" s="350"/>
      <c r="F8" s="350"/>
      <c r="G8" s="350"/>
      <c r="H8" s="350"/>
    </row>
    <row r="9" spans="2:8" ht="18.75">
      <c r="B9" s="319" t="s">
        <v>116</v>
      </c>
      <c r="C9" s="319"/>
      <c r="D9" s="319"/>
      <c r="E9" s="319"/>
      <c r="F9" s="319"/>
      <c r="G9" s="319"/>
      <c r="H9" s="319"/>
    </row>
    <row r="10" spans="2:8" ht="18.75">
      <c r="B10" s="319" t="s">
        <v>103</v>
      </c>
      <c r="C10" s="319"/>
      <c r="D10" s="319"/>
      <c r="E10" s="319"/>
      <c r="F10" s="319"/>
      <c r="G10" s="319"/>
      <c r="H10" s="319"/>
    </row>
    <row r="11" ht="10.5" customHeight="1"/>
    <row r="12" spans="2:8" ht="18.75">
      <c r="B12" s="361" t="s">
        <v>104</v>
      </c>
      <c r="C12" s="364" t="s">
        <v>74</v>
      </c>
      <c r="D12" s="364" t="s">
        <v>105</v>
      </c>
      <c r="E12" s="366" t="s">
        <v>106</v>
      </c>
      <c r="F12" s="366"/>
      <c r="G12" s="366"/>
      <c r="H12" s="367"/>
    </row>
    <row r="13" spans="2:8" ht="111" customHeight="1">
      <c r="B13" s="348"/>
      <c r="C13" s="365"/>
      <c r="D13" s="365"/>
      <c r="E13" s="103" t="s">
        <v>107</v>
      </c>
      <c r="F13" s="103" t="s">
        <v>108</v>
      </c>
      <c r="G13" s="103" t="s">
        <v>384</v>
      </c>
      <c r="H13" s="51" t="s">
        <v>109</v>
      </c>
    </row>
    <row r="14" spans="2:8" ht="37.5">
      <c r="B14" s="359">
        <v>1</v>
      </c>
      <c r="C14" s="369" t="s">
        <v>110</v>
      </c>
      <c r="D14" s="212" t="s">
        <v>111</v>
      </c>
      <c r="E14" s="213">
        <f>(11.6*2.5%)+11.6</f>
        <v>11.889999999999999</v>
      </c>
      <c r="F14" s="213">
        <f>(15.2*2.5%)+15.2</f>
        <v>15.58</v>
      </c>
      <c r="G14" s="213">
        <f>(20.5*2.5%)+20.5</f>
        <v>21.0125</v>
      </c>
      <c r="H14" s="213">
        <f>(25.9*2.5%)+25.9</f>
        <v>26.5475</v>
      </c>
    </row>
    <row r="15" spans="2:8" ht="38.25" customHeight="1">
      <c r="B15" s="360"/>
      <c r="C15" s="370"/>
      <c r="D15" s="212" t="s">
        <v>112</v>
      </c>
      <c r="E15" s="213">
        <f>(9.2*2.5%)+9.2</f>
        <v>9.43</v>
      </c>
      <c r="F15" s="213">
        <f>(12.1*2.5%)+12.1</f>
        <v>12.4025</v>
      </c>
      <c r="G15" s="213">
        <f>(16.4*2.5%)+16.4</f>
        <v>16.81</v>
      </c>
      <c r="H15" s="213">
        <f>(20.5*2.5%)+20.5</f>
        <v>21.0125</v>
      </c>
    </row>
    <row r="16" spans="2:8" ht="37.5">
      <c r="B16" s="359">
        <v>2</v>
      </c>
      <c r="C16" s="362" t="s">
        <v>113</v>
      </c>
      <c r="D16" s="212" t="s">
        <v>111</v>
      </c>
      <c r="E16" s="213">
        <f>(12.4*2.5%)+12.4</f>
        <v>12.71</v>
      </c>
      <c r="F16" s="213">
        <f>(16.1*2.5%)+16.1</f>
        <v>16.5025</v>
      </c>
      <c r="G16" s="213">
        <f>(20.7*2.5%)+20.7</f>
        <v>21.217499999999998</v>
      </c>
      <c r="H16" s="213">
        <f>(26.1*2.5%)+26.1</f>
        <v>26.7525</v>
      </c>
    </row>
    <row r="17" spans="2:8" ht="57" customHeight="1">
      <c r="B17" s="360"/>
      <c r="C17" s="363"/>
      <c r="D17" s="212" t="s">
        <v>112</v>
      </c>
      <c r="E17" s="213">
        <f>(10.1*2.5%)+10.1</f>
        <v>10.3525</v>
      </c>
      <c r="F17" s="213">
        <f>(13.2*2.5%)+13.2</f>
        <v>13.53</v>
      </c>
      <c r="G17" s="213">
        <f>(17.4*2.5%)+17.4</f>
        <v>17.834999999999997</v>
      </c>
      <c r="H17" s="213">
        <f>(21.3*2.5%)+21.3</f>
        <v>21.8325</v>
      </c>
    </row>
    <row r="18" spans="2:8" ht="37.5">
      <c r="B18" s="359">
        <v>3</v>
      </c>
      <c r="C18" s="362" t="s">
        <v>114</v>
      </c>
      <c r="D18" s="212" t="s">
        <v>111</v>
      </c>
      <c r="E18" s="213">
        <f>(10.8*2.5%)+10.8</f>
        <v>11.07</v>
      </c>
      <c r="F18" s="213">
        <f>(14*2.5%)+14</f>
        <v>14.35</v>
      </c>
      <c r="G18" s="213">
        <f>(19.3*2.5%)+19.3</f>
        <v>19.782500000000002</v>
      </c>
      <c r="H18" s="213">
        <f>(24.4*2.5%)+24.4</f>
        <v>25.009999999999998</v>
      </c>
    </row>
    <row r="19" spans="2:8" ht="40.5" customHeight="1">
      <c r="B19" s="360"/>
      <c r="C19" s="363"/>
      <c r="D19" s="212" t="s">
        <v>112</v>
      </c>
      <c r="E19" s="213">
        <f>(8.9*2.5%)+8.9</f>
        <v>9.1225</v>
      </c>
      <c r="F19" s="213">
        <f>(11.7*2.5%)+11.7</f>
        <v>11.9925</v>
      </c>
      <c r="G19" s="213">
        <f>(15.6*2.5%)+15.6</f>
        <v>15.99</v>
      </c>
      <c r="H19" s="213">
        <f>(19.4*2.5%)+19.4</f>
        <v>19.884999999999998</v>
      </c>
    </row>
    <row r="20" spans="2:8" ht="24" customHeight="1">
      <c r="B20" s="368" t="s">
        <v>385</v>
      </c>
      <c r="C20" s="368"/>
      <c r="D20" s="368"/>
      <c r="E20" s="368"/>
      <c r="F20" s="368"/>
      <c r="G20" s="368"/>
      <c r="H20" s="368"/>
    </row>
    <row r="21" spans="2:8" ht="18.75">
      <c r="B21" s="318" t="s">
        <v>386</v>
      </c>
      <c r="C21" s="318"/>
      <c r="D21" s="318"/>
      <c r="E21" s="318"/>
      <c r="F21" s="318"/>
      <c r="G21" s="318"/>
      <c r="H21" s="318"/>
    </row>
  </sheetData>
  <sheetProtection/>
  <mergeCells count="21">
    <mergeCell ref="F4:H4"/>
    <mergeCell ref="B6:H6"/>
    <mergeCell ref="B7:H7"/>
    <mergeCell ref="G1:H1"/>
    <mergeCell ref="B10:H10"/>
    <mergeCell ref="E12:H12"/>
    <mergeCell ref="B16:B17"/>
    <mergeCell ref="C12:C13"/>
    <mergeCell ref="C18:C19"/>
    <mergeCell ref="B18:B19"/>
    <mergeCell ref="B9:H9"/>
    <mergeCell ref="F2:H2"/>
    <mergeCell ref="F3:H3"/>
    <mergeCell ref="B8:H8"/>
    <mergeCell ref="B21:H21"/>
    <mergeCell ref="B14:B15"/>
    <mergeCell ref="B12:B13"/>
    <mergeCell ref="C16:C17"/>
    <mergeCell ref="D12:D13"/>
    <mergeCell ref="B20:H20"/>
    <mergeCell ref="C14:C15"/>
  </mergeCells>
  <printOptions/>
  <pageMargins left="0.15748031496062992" right="0.15748031496062992" top="0.31496062992125984" bottom="0.1968503937007874" header="0.2362204724409449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2" sqref="D2:E4"/>
    </sheetView>
  </sheetViews>
  <sheetFormatPr defaultColWidth="9.00390625" defaultRowHeight="12.75"/>
  <cols>
    <col min="1" max="1" width="2.75390625" style="31" customWidth="1"/>
    <col min="2" max="2" width="6.875" style="31" customWidth="1"/>
    <col min="3" max="3" width="40.125" style="31" customWidth="1"/>
    <col min="4" max="4" width="23.625" style="31" customWidth="1"/>
    <col min="5" max="5" width="23.125" style="31" customWidth="1"/>
    <col min="6" max="16384" width="9.125" style="31" customWidth="1"/>
  </cols>
  <sheetData>
    <row r="1" spans="3:4" ht="18.75">
      <c r="C1" s="35"/>
      <c r="D1" s="35"/>
    </row>
    <row r="2" spans="3:5" ht="18.75">
      <c r="C2" s="35"/>
      <c r="D2" s="375"/>
      <c r="E2" s="375"/>
    </row>
    <row r="3" spans="3:5" ht="18.75">
      <c r="C3" s="35"/>
      <c r="D3" s="376"/>
      <c r="E3" s="376"/>
    </row>
    <row r="4" spans="3:5" ht="18.75">
      <c r="C4" s="35"/>
      <c r="D4" s="377"/>
      <c r="E4" s="377"/>
    </row>
    <row r="5" spans="3:5" ht="18.75">
      <c r="C5" s="35"/>
      <c r="D5" s="74"/>
      <c r="E5" s="74"/>
    </row>
    <row r="6" spans="3:5" ht="18.75">
      <c r="C6" s="35"/>
      <c r="D6" s="376" t="s">
        <v>117</v>
      </c>
      <c r="E6" s="376"/>
    </row>
    <row r="7" spans="3:5" ht="18.75">
      <c r="C7" s="35"/>
      <c r="D7" s="376" t="s">
        <v>118</v>
      </c>
      <c r="E7" s="376"/>
    </row>
    <row r="8" spans="3:5" ht="18.75">
      <c r="C8" s="35"/>
      <c r="D8" s="376" t="s">
        <v>119</v>
      </c>
      <c r="E8" s="376"/>
    </row>
    <row r="9" spans="3:5" ht="18.75">
      <c r="C9" s="35"/>
      <c r="D9" s="376" t="s">
        <v>120</v>
      </c>
      <c r="E9" s="376"/>
    </row>
    <row r="10" spans="4:5" ht="18.75">
      <c r="D10" s="376" t="s">
        <v>121</v>
      </c>
      <c r="E10" s="376"/>
    </row>
    <row r="12" spans="2:5" ht="18.75">
      <c r="B12" s="378" t="s">
        <v>101</v>
      </c>
      <c r="C12" s="378"/>
      <c r="D12" s="378"/>
      <c r="E12" s="378"/>
    </row>
    <row r="13" spans="2:5" ht="62.25" customHeight="1">
      <c r="B13" s="379" t="s">
        <v>122</v>
      </c>
      <c r="C13" s="379"/>
      <c r="D13" s="379"/>
      <c r="E13" s="379"/>
    </row>
    <row r="14" spans="2:5" ht="18.75">
      <c r="B14" s="378" t="s">
        <v>102</v>
      </c>
      <c r="C14" s="378"/>
      <c r="D14" s="378"/>
      <c r="E14" s="378"/>
    </row>
    <row r="15" spans="2:5" ht="18.75">
      <c r="B15" s="378" t="s">
        <v>123</v>
      </c>
      <c r="C15" s="378"/>
      <c r="D15" s="378"/>
      <c r="E15" s="378"/>
    </row>
    <row r="17" spans="2:5" ht="39" customHeight="1">
      <c r="B17" s="32" t="s">
        <v>104</v>
      </c>
      <c r="C17" s="32" t="s">
        <v>124</v>
      </c>
      <c r="D17" s="100" t="s">
        <v>125</v>
      </c>
      <c r="E17" s="214" t="s">
        <v>126</v>
      </c>
    </row>
    <row r="18" spans="2:5" ht="23.25" customHeight="1">
      <c r="B18" s="372" t="s">
        <v>127</v>
      </c>
      <c r="C18" s="373"/>
      <c r="D18" s="373"/>
      <c r="E18" s="374"/>
    </row>
    <row r="19" spans="2:5" ht="58.5" customHeight="1">
      <c r="B19" s="33">
        <v>1</v>
      </c>
      <c r="C19" s="39" t="s">
        <v>128</v>
      </c>
      <c r="D19" s="32" t="s">
        <v>129</v>
      </c>
      <c r="E19" s="43">
        <v>4.6</v>
      </c>
    </row>
    <row r="20" spans="2:5" ht="63.75" customHeight="1">
      <c r="B20" s="33">
        <v>2</v>
      </c>
      <c r="C20" s="34" t="s">
        <v>130</v>
      </c>
      <c r="D20" s="32" t="s">
        <v>129</v>
      </c>
      <c r="E20" s="43">
        <v>5.1</v>
      </c>
    </row>
    <row r="21" spans="2:5" ht="66" customHeight="1">
      <c r="B21" s="41">
        <v>3</v>
      </c>
      <c r="C21" s="42" t="s">
        <v>131</v>
      </c>
      <c r="D21" s="38" t="s">
        <v>129</v>
      </c>
      <c r="E21" s="43">
        <v>5.6</v>
      </c>
    </row>
  </sheetData>
  <sheetProtection/>
  <mergeCells count="13">
    <mergeCell ref="D8:E8"/>
    <mergeCell ref="D9:E9"/>
    <mergeCell ref="D10:E10"/>
    <mergeCell ref="B18:E18"/>
    <mergeCell ref="D2:E2"/>
    <mergeCell ref="D3:E3"/>
    <mergeCell ref="D4:E4"/>
    <mergeCell ref="D6:E6"/>
    <mergeCell ref="B12:E12"/>
    <mergeCell ref="B13:E13"/>
    <mergeCell ref="B14:E14"/>
    <mergeCell ref="B15:E15"/>
    <mergeCell ref="D7:E7"/>
  </mergeCells>
  <printOptions/>
  <pageMargins left="0.15748031496062992" right="0.1968503937007874" top="0.2755905511811024" bottom="0.7480314960629921" header="0.196850393700787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9"/>
  <sheetViews>
    <sheetView zoomScalePageLayoutView="0" workbookViewId="0" topLeftCell="A1">
      <selection activeCell="C2" sqref="C2:D4"/>
    </sheetView>
  </sheetViews>
  <sheetFormatPr defaultColWidth="9.00390625" defaultRowHeight="12.75"/>
  <cols>
    <col min="1" max="1" width="4.625" style="31" customWidth="1"/>
    <col min="2" max="2" width="45.25390625" style="31" customWidth="1"/>
    <col min="3" max="3" width="15.375" style="31" customWidth="1"/>
    <col min="4" max="4" width="31.125" style="31" customWidth="1"/>
    <col min="5" max="16384" width="9.125" style="31" customWidth="1"/>
  </cols>
  <sheetData>
    <row r="2" spans="3:4" ht="18.75">
      <c r="C2" s="375"/>
      <c r="D2" s="375"/>
    </row>
    <row r="3" spans="3:4" ht="18.75">
      <c r="C3" s="376"/>
      <c r="D3" s="376"/>
    </row>
    <row r="4" spans="3:4" ht="18.75">
      <c r="C4" s="377"/>
      <c r="D4" s="377"/>
    </row>
    <row r="5" spans="3:4" ht="18.75">
      <c r="C5" s="74"/>
      <c r="D5" s="74"/>
    </row>
    <row r="6" spans="2:8" ht="33" customHeight="1">
      <c r="B6" s="382" t="s">
        <v>132</v>
      </c>
      <c r="C6" s="382"/>
      <c r="D6" s="382"/>
      <c r="E6" s="44"/>
      <c r="F6" s="44"/>
      <c r="G6" s="44"/>
      <c r="H6" s="44"/>
    </row>
    <row r="8" spans="2:4" ht="49.5" customHeight="1">
      <c r="B8" s="33" t="s">
        <v>133</v>
      </c>
      <c r="C8" s="33" t="s">
        <v>134</v>
      </c>
      <c r="D8" s="38" t="s">
        <v>135</v>
      </c>
    </row>
    <row r="9" spans="2:4" ht="24" customHeight="1">
      <c r="B9" s="380" t="s">
        <v>136</v>
      </c>
      <c r="C9" s="45" t="s">
        <v>137</v>
      </c>
      <c r="D9" s="49">
        <f>(13*2.5%)+13</f>
        <v>13.325</v>
      </c>
    </row>
    <row r="10" spans="2:4" ht="18.75" customHeight="1">
      <c r="B10" s="383"/>
      <c r="C10" s="45" t="s">
        <v>138</v>
      </c>
      <c r="D10" s="49">
        <v>1.8</v>
      </c>
    </row>
    <row r="11" spans="2:4" ht="18.75" customHeight="1">
      <c r="B11" s="381"/>
      <c r="C11" s="45" t="s">
        <v>139</v>
      </c>
      <c r="D11" s="49">
        <v>54</v>
      </c>
    </row>
    <row r="12" spans="2:4" ht="18.75">
      <c r="B12" s="380" t="s">
        <v>443</v>
      </c>
      <c r="C12" s="45" t="s">
        <v>140</v>
      </c>
      <c r="D12" s="40"/>
    </row>
    <row r="13" spans="2:4" ht="18.75">
      <c r="B13" s="383"/>
      <c r="C13" s="45" t="s">
        <v>138</v>
      </c>
      <c r="D13" s="49">
        <f>(1.1*2.5%)+1.1</f>
        <v>1.1275000000000002</v>
      </c>
    </row>
    <row r="14" spans="2:4" ht="18.75">
      <c r="B14" s="381"/>
      <c r="C14" s="45" t="s">
        <v>139</v>
      </c>
      <c r="D14" s="49">
        <f>(22*2.5%)+22</f>
        <v>22.55</v>
      </c>
    </row>
    <row r="15" spans="2:4" ht="18.75">
      <c r="B15" s="380" t="s">
        <v>141</v>
      </c>
      <c r="C15" s="45" t="s">
        <v>138</v>
      </c>
      <c r="D15" s="49">
        <f>(0.35*2.5%)+0.35</f>
        <v>0.35874999999999996</v>
      </c>
    </row>
    <row r="16" spans="2:4" ht="21.75" customHeight="1">
      <c r="B16" s="381"/>
      <c r="C16" s="45" t="s">
        <v>139</v>
      </c>
      <c r="D16" s="49">
        <f>(13*2.5%)+13</f>
        <v>13.325</v>
      </c>
    </row>
    <row r="17" spans="2:4" ht="27.75" customHeight="1">
      <c r="B17" s="42" t="s">
        <v>161</v>
      </c>
      <c r="C17" s="45" t="s">
        <v>139</v>
      </c>
      <c r="D17" s="49">
        <f>(0.9*2.5%)+0.9</f>
        <v>0.9225</v>
      </c>
    </row>
    <row r="18" spans="2:4" ht="21" customHeight="1">
      <c r="B18" s="42" t="s">
        <v>387</v>
      </c>
      <c r="C18" s="45" t="s">
        <v>388</v>
      </c>
      <c r="D18" s="45">
        <f>(250*2.5%)+250</f>
        <v>256.25</v>
      </c>
    </row>
    <row r="19" spans="2:3" ht="18.75">
      <c r="B19" s="46"/>
      <c r="C19" s="47"/>
    </row>
  </sheetData>
  <sheetProtection/>
  <mergeCells count="7">
    <mergeCell ref="C2:D2"/>
    <mergeCell ref="C3:D3"/>
    <mergeCell ref="C4:D4"/>
    <mergeCell ref="B15:B16"/>
    <mergeCell ref="B6:D6"/>
    <mergeCell ref="B9:B11"/>
    <mergeCell ref="B12:B14"/>
  </mergeCells>
  <printOptions/>
  <pageMargins left="0.16" right="0.21" top="0.35" bottom="0.75" header="0.16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C2" sqref="C2:E4"/>
    </sheetView>
  </sheetViews>
  <sheetFormatPr defaultColWidth="9.00390625" defaultRowHeight="12.75"/>
  <cols>
    <col min="1" max="1" width="4.625" style="31" customWidth="1"/>
    <col min="2" max="2" width="37.625" style="31" customWidth="1"/>
    <col min="3" max="4" width="15.375" style="31" customWidth="1"/>
    <col min="5" max="5" width="27.25390625" style="31" customWidth="1"/>
    <col min="6" max="16384" width="9.125" style="31" customWidth="1"/>
  </cols>
  <sheetData>
    <row r="2" spans="3:5" ht="18.75">
      <c r="C2" s="375"/>
      <c r="D2" s="375"/>
      <c r="E2" s="375"/>
    </row>
    <row r="3" spans="3:5" ht="18.75">
      <c r="C3" s="386"/>
      <c r="D3" s="386"/>
      <c r="E3" s="386"/>
    </row>
    <row r="4" spans="3:5" ht="18.75">
      <c r="C4" s="386"/>
      <c r="D4" s="386"/>
      <c r="E4" s="386"/>
    </row>
    <row r="5" spans="3:5" ht="18.75">
      <c r="C5" s="74"/>
      <c r="D5" s="74"/>
      <c r="E5" s="74"/>
    </row>
    <row r="6" spans="2:9" ht="33" customHeight="1">
      <c r="B6" s="382" t="s">
        <v>132</v>
      </c>
      <c r="C6" s="382"/>
      <c r="D6" s="382"/>
      <c r="E6" s="382"/>
      <c r="F6" s="44"/>
      <c r="G6" s="44"/>
      <c r="H6" s="44"/>
      <c r="I6" s="44"/>
    </row>
    <row r="8" spans="2:5" ht="49.5" customHeight="1">
      <c r="B8" s="33" t="s">
        <v>133</v>
      </c>
      <c r="C8" s="33" t="s">
        <v>134</v>
      </c>
      <c r="D8" s="33" t="s">
        <v>445</v>
      </c>
      <c r="E8" s="38" t="s">
        <v>135</v>
      </c>
    </row>
    <row r="9" spans="2:5" ht="24" customHeight="1">
      <c r="B9" s="380" t="s">
        <v>444</v>
      </c>
      <c r="C9" s="384" t="s">
        <v>137</v>
      </c>
      <c r="D9" s="45" t="s">
        <v>446</v>
      </c>
      <c r="E9" s="49">
        <v>6.5</v>
      </c>
    </row>
    <row r="10" spans="2:5" ht="18.75" customHeight="1">
      <c r="B10" s="383"/>
      <c r="C10" s="385"/>
      <c r="D10" s="45" t="s">
        <v>447</v>
      </c>
      <c r="E10" s="49">
        <v>8.5</v>
      </c>
    </row>
    <row r="11" spans="2:5" ht="37.5">
      <c r="B11" s="42" t="s">
        <v>448</v>
      </c>
      <c r="C11" s="45" t="s">
        <v>137</v>
      </c>
      <c r="D11" s="45" t="s">
        <v>449</v>
      </c>
      <c r="E11" s="49">
        <v>6.5</v>
      </c>
    </row>
    <row r="12" spans="2:4" ht="18.75">
      <c r="B12" s="46"/>
      <c r="C12" s="47"/>
      <c r="D12" s="47"/>
    </row>
  </sheetData>
  <sheetProtection/>
  <mergeCells count="6">
    <mergeCell ref="C9:C10"/>
    <mergeCell ref="C2:E2"/>
    <mergeCell ref="C3:E3"/>
    <mergeCell ref="C4:E4"/>
    <mergeCell ref="B6:E6"/>
    <mergeCell ref="B9:B10"/>
  </mergeCells>
  <printOptions/>
  <pageMargins left="0.2" right="0.2" top="0.22" bottom="0.75" header="0.16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C2" sqref="C2:D4"/>
    </sheetView>
  </sheetViews>
  <sheetFormatPr defaultColWidth="9.00390625" defaultRowHeight="12.75"/>
  <cols>
    <col min="1" max="1" width="3.25390625" style="50" customWidth="1"/>
    <col min="2" max="2" width="51.625" style="50" customWidth="1"/>
    <col min="3" max="3" width="13.375" style="50" customWidth="1"/>
    <col min="4" max="4" width="32.875" style="50" customWidth="1"/>
    <col min="5" max="16384" width="9.125" style="50" customWidth="1"/>
  </cols>
  <sheetData>
    <row r="2" spans="3:4" ht="18.75">
      <c r="C2" s="387"/>
      <c r="D2" s="387"/>
    </row>
    <row r="3" spans="3:4" ht="18.75">
      <c r="C3" s="376"/>
      <c r="D3" s="376"/>
    </row>
    <row r="4" spans="3:4" ht="18.75">
      <c r="C4" s="377"/>
      <c r="D4" s="377"/>
    </row>
    <row r="5" spans="3:4" ht="18.75">
      <c r="C5" s="74"/>
      <c r="D5" s="74"/>
    </row>
    <row r="6" spans="2:4" ht="18.75">
      <c r="B6" s="350" t="s">
        <v>142</v>
      </c>
      <c r="C6" s="350"/>
      <c r="D6" s="350"/>
    </row>
    <row r="8" spans="2:4" ht="39.75" customHeight="1">
      <c r="B8" s="90" t="s">
        <v>143</v>
      </c>
      <c r="C8" s="102" t="s">
        <v>144</v>
      </c>
      <c r="D8" s="51" t="s">
        <v>145</v>
      </c>
    </row>
    <row r="9" spans="2:4" ht="57" customHeight="1">
      <c r="B9" s="52" t="s">
        <v>146</v>
      </c>
      <c r="C9" s="51" t="s">
        <v>147</v>
      </c>
      <c r="D9" s="53">
        <f>(1.3*2.5%)+1.3</f>
        <v>1.3325</v>
      </c>
    </row>
    <row r="10" spans="2:4" ht="56.25">
      <c r="B10" s="52" t="s">
        <v>148</v>
      </c>
      <c r="C10" s="51" t="s">
        <v>147</v>
      </c>
      <c r="D10" s="53">
        <f>(1*2.5%)+1</f>
        <v>1.025</v>
      </c>
    </row>
    <row r="11" spans="2:4" ht="56.25">
      <c r="B11" s="52" t="s">
        <v>149</v>
      </c>
      <c r="C11" s="51" t="s">
        <v>147</v>
      </c>
      <c r="D11" s="53">
        <f>(1.1*2.5%)+1.1</f>
        <v>1.1275000000000002</v>
      </c>
    </row>
    <row r="12" spans="2:4" ht="56.25">
      <c r="B12" s="52" t="s">
        <v>150</v>
      </c>
      <c r="C12" s="51" t="s">
        <v>147</v>
      </c>
      <c r="D12" s="53">
        <f>(1*2.5%)+1</f>
        <v>1.025</v>
      </c>
    </row>
    <row r="13" spans="2:4" ht="56.25">
      <c r="B13" s="52" t="s">
        <v>151</v>
      </c>
      <c r="C13" s="51" t="s">
        <v>147</v>
      </c>
      <c r="D13" s="53">
        <f>(2.3*2.5%)+2.3</f>
        <v>2.3575</v>
      </c>
    </row>
    <row r="14" spans="2:4" ht="56.25">
      <c r="B14" s="52" t="s">
        <v>152</v>
      </c>
      <c r="C14" s="51" t="s">
        <v>147</v>
      </c>
      <c r="D14" s="53">
        <f>(1.3*2.5%)+1.3</f>
        <v>1.3325</v>
      </c>
    </row>
    <row r="15" spans="2:4" ht="56.25">
      <c r="B15" s="52" t="s">
        <v>153</v>
      </c>
      <c r="C15" s="51" t="s">
        <v>147</v>
      </c>
      <c r="D15" s="53">
        <f>(2*2.5%)+2</f>
        <v>2.05</v>
      </c>
    </row>
    <row r="16" spans="2:4" ht="56.25">
      <c r="B16" s="52" t="s">
        <v>154</v>
      </c>
      <c r="C16" s="51" t="s">
        <v>147</v>
      </c>
      <c r="D16" s="53">
        <f>(1.3*2.5%)+1.3</f>
        <v>1.3325</v>
      </c>
    </row>
    <row r="17" spans="2:4" ht="37.5">
      <c r="B17" s="52" t="s">
        <v>155</v>
      </c>
      <c r="C17" s="51" t="s">
        <v>147</v>
      </c>
      <c r="D17" s="53">
        <f>(4.1*2.5%)+4.1</f>
        <v>4.2025</v>
      </c>
    </row>
  </sheetData>
  <sheetProtection/>
  <mergeCells count="4">
    <mergeCell ref="B6:D6"/>
    <mergeCell ref="C2:D2"/>
    <mergeCell ref="C3:D3"/>
    <mergeCell ref="C4:D4"/>
  </mergeCells>
  <printOptions/>
  <pageMargins left="0.17" right="0.21" top="0.3" bottom="0.33" header="0.1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2018-09-04T13:30:09Z</cp:lastPrinted>
  <dcterms:created xsi:type="dcterms:W3CDTF">2011-05-31T05:05:10Z</dcterms:created>
  <dcterms:modified xsi:type="dcterms:W3CDTF">2018-11-27T05:44:58Z</dcterms:modified>
  <cp:category/>
  <cp:version/>
  <cp:contentType/>
  <cp:contentStatus/>
</cp:coreProperties>
</file>