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60" tabRatio="504" firstSheet="5" activeTab="10"/>
  </bookViews>
  <sheets>
    <sheet name="1.08.12. Лесомат. ФПС" sheetId="1" state="hidden" r:id="rId1"/>
    <sheet name="хв" sheetId="2" r:id="rId2"/>
    <sheet name="мл" sheetId="3" r:id="rId3"/>
    <sheet name="тл" sheetId="4" r:id="rId4"/>
    <sheet name="лесосека" sheetId="5" r:id="rId5"/>
    <sheet name="услуга" sheetId="6" r:id="rId6"/>
    <sheet name="сеянцы" sheetId="7" r:id="rId7"/>
    <sheet name="древ.раст." sheetId="8" r:id="rId8"/>
    <sheet name="кустарники" sheetId="9" r:id="rId9"/>
    <sheet name="саженцы" sheetId="10" r:id="rId10"/>
    <sheet name="сок" sheetId="11" r:id="rId11"/>
    <sheet name="бельчо" sheetId="12" r:id="rId12"/>
    <sheet name="дрова 1" sheetId="13" r:id="rId13"/>
    <sheet name="трал" sheetId="14" r:id="rId14"/>
  </sheets>
  <definedNames>
    <definedName name="_xlnm.Print_Area" localSheetId="0">'1.08.12. Лесомат. ФПС'!$A$1:$F$156</definedName>
    <definedName name="_xlnm.Print_Area" localSheetId="11">'бельчо'!$A$1:$F$46</definedName>
    <definedName name="_xlnm.Print_Area" localSheetId="2">'мл'!$A$1:$G$56</definedName>
    <definedName name="_xlnm.Print_Area" localSheetId="9">'саженцы'!$A$1:$E$75</definedName>
    <definedName name="_xlnm.Print_Area" localSheetId="3">'тл'!$A$1:$G$45</definedName>
    <definedName name="_xlnm.Print_Area" localSheetId="1">'хв'!$A$1:$G$48</definedName>
  </definedNames>
  <calcPr fullCalcOnLoad="1"/>
</workbook>
</file>

<file path=xl/sharedStrings.xml><?xml version="1.0" encoding="utf-8"?>
<sst xmlns="http://schemas.openxmlformats.org/spreadsheetml/2006/main" count="970" uniqueCount="393">
  <si>
    <t>отпускные цены на лесоматериалы круглые (за исключением дров),</t>
  </si>
  <si>
    <t>I. ЛЕСОМАТЕРИАЛЫ КРУГЛЫЕ ХВОЙНЫХ ПОРОД (СТБ 1711-2007 ГОСТ 17462-84)</t>
  </si>
  <si>
    <t>1. Лесоматериалы для распиловки и строгания</t>
  </si>
  <si>
    <t>Длина, м</t>
  </si>
  <si>
    <t>Сорт</t>
  </si>
  <si>
    <t>Толщина, см</t>
  </si>
  <si>
    <t>Цена за 1 плотный куб. м, бел. руб., без НДС</t>
  </si>
  <si>
    <t>2,0-6,5</t>
  </si>
  <si>
    <t>2,0-6,0</t>
  </si>
  <si>
    <t>II. ЛЕСОМАТЕРИАЛЫ КРУГЛЫЕ БЕРЕЗОВОЙ И МЯГКОЛИСТВЕННЫХ ПОРОД</t>
  </si>
  <si>
    <t>(СТБ 1712-2007 ГОСТ 17462-84)</t>
  </si>
  <si>
    <t xml:space="preserve">Для выработки пиломатериалов и заготовок общего назначения (пиловочное бревно) </t>
  </si>
  <si>
    <t>1,3; 1,6 и кратные</t>
  </si>
  <si>
    <t>26 и более</t>
  </si>
  <si>
    <t>Прейскурант №1</t>
  </si>
  <si>
    <t>1 августа 2012 года</t>
  </si>
  <si>
    <t>10-13</t>
  </si>
  <si>
    <t>14-24</t>
  </si>
  <si>
    <t>14-18</t>
  </si>
  <si>
    <t>20-24</t>
  </si>
  <si>
    <t>14 и более</t>
  </si>
  <si>
    <t>16-24</t>
  </si>
  <si>
    <t>1</t>
  </si>
  <si>
    <t>2</t>
  </si>
  <si>
    <t>20% НДС</t>
  </si>
  <si>
    <r>
      <rPr>
        <i/>
        <sz val="11"/>
        <rFont val="Times New Roman"/>
        <family val="1"/>
      </rPr>
      <t>поставляемые на условиях</t>
    </r>
    <r>
      <rPr>
        <b/>
        <i/>
        <sz val="11"/>
        <rFont val="Times New Roman"/>
        <family val="1"/>
      </rPr>
      <t xml:space="preserve"> </t>
    </r>
    <r>
      <rPr>
        <b/>
        <i/>
        <u val="double"/>
        <sz val="12"/>
        <rFont val="Times New Roman"/>
        <family val="1"/>
      </rPr>
      <t>франко-промежуточный лесосклад</t>
    </r>
  </si>
  <si>
    <t xml:space="preserve">Для шпал железных дорог широкой колеи (шпальное бревно) </t>
  </si>
  <si>
    <t>(сосна, ель, пихта, лиственница)</t>
  </si>
  <si>
    <t>2,75; 5,5</t>
  </si>
  <si>
    <t>3</t>
  </si>
  <si>
    <t>2. Лесоматериалы для выработки оцилиндрованных изделий</t>
  </si>
  <si>
    <t>Для выработки пиломатериалов и заготовок общего назначения (пиловочное бревно)          (сосна, ель, лиственница, пихта)</t>
  </si>
  <si>
    <t>6-18</t>
  </si>
  <si>
    <t>3. Лесоматериалы для выработки шпона</t>
  </si>
  <si>
    <t>Для выработки строганого шпона (сосна, лиственница)</t>
  </si>
  <si>
    <t>Для выработки изделий различного назначения (сосна, ель)</t>
  </si>
  <si>
    <t>4. Лесоматериалы для выработки целлюлозы и древесной массы (балансы)</t>
  </si>
  <si>
    <t>0,75; 1; 1,1; 1,2; 1,25; 2 и кратные</t>
  </si>
  <si>
    <t>6-24</t>
  </si>
  <si>
    <t>3,0-6,5</t>
  </si>
  <si>
    <t>6-13</t>
  </si>
  <si>
    <t>5. Лесоматериалы для использования в круглом виде</t>
  </si>
  <si>
    <t>Для вспомогательных и временных построек различного назначения (подтоварник)</t>
  </si>
  <si>
    <t>(береза, ольха черная, ильмовые)</t>
  </si>
  <si>
    <t>(осина, ольха серая, тополь)</t>
  </si>
  <si>
    <t>2. Лесоматериалы для выработки  шпона</t>
  </si>
  <si>
    <t>Для выработки строганого шпона (береза и мягколиственные породы)</t>
  </si>
  <si>
    <t>24 и более</t>
  </si>
  <si>
    <t>Для выработки лущеного шпона (фанерное бревно) (береза, липа, ольха)</t>
  </si>
  <si>
    <t>(осина)</t>
  </si>
  <si>
    <t>Для производства спичек (спичечное бревно)</t>
  </si>
  <si>
    <t>(осина, тополь,  липа, ольха)</t>
  </si>
  <si>
    <t>не менее 2,0</t>
  </si>
  <si>
    <t>3. Лесоматериалы для выработки целлюлозы и древесной массы (балансы)</t>
  </si>
  <si>
    <t>(береза и все мягколиственные породы)</t>
  </si>
  <si>
    <t>6-40</t>
  </si>
  <si>
    <t>0,75; 1; 1,1; 1,2; 1,25; 2 и кратные им</t>
  </si>
  <si>
    <t>4. Лесоматериалы для использования в круглом виде</t>
  </si>
  <si>
    <t>8-11</t>
  </si>
  <si>
    <t>не менее 3,0</t>
  </si>
  <si>
    <t>(дуб, ясень, клен, граб)</t>
  </si>
  <si>
    <t>1,0-6,0</t>
  </si>
  <si>
    <t>26-34</t>
  </si>
  <si>
    <t>36 и более</t>
  </si>
  <si>
    <t>2. Лесоматериалы для выработки шпона</t>
  </si>
  <si>
    <t>не менее 1,5</t>
  </si>
  <si>
    <t>24-34</t>
  </si>
  <si>
    <t>Для выработки строганого шпона (дуб, ясень, клен, граб)</t>
  </si>
  <si>
    <t>3. Лесоматериалы для использования в круглом виде</t>
  </si>
  <si>
    <t>III. ЛЕСОМАТЕРИАЛЫ КРУГЛЫЕ ТВЕРДОЛИСТВЕННЫХ ПОРОД</t>
  </si>
  <si>
    <t>IV. ЖЕРДИ</t>
  </si>
  <si>
    <t>ТУ РБ 100195503.010-2000</t>
  </si>
  <si>
    <t>3-5</t>
  </si>
  <si>
    <t>3-7</t>
  </si>
  <si>
    <t>Порода</t>
  </si>
  <si>
    <t>Сосна, ель, лиственница, пихта</t>
  </si>
  <si>
    <t>Береза, ольха черная, ильмовые</t>
  </si>
  <si>
    <t>Осина, ольха серая, тополь</t>
  </si>
  <si>
    <t>Дуб, ясень, клен, граб</t>
  </si>
  <si>
    <t>V. СЫРЬЕ ДРЕВЕСНОЕ ТЕХНОЛОГИЧЕСКОЕ</t>
  </si>
  <si>
    <t>ГОСТ 4106-74</t>
  </si>
  <si>
    <t>0,5-6,5</t>
  </si>
  <si>
    <t>от 0,4</t>
  </si>
  <si>
    <t>VI. СЫРЬЕ ДРЕВЕСНОЕ ДЛЯ ВЫРАБОТКИ ДУБИЛЬНЫХ ЭКСТРАКТОВ</t>
  </si>
  <si>
    <t>не менее 2,5</t>
  </si>
  <si>
    <t>ТУ РБ 100195503.010-2001</t>
  </si>
  <si>
    <t>отпускных цен на лесоматериалы круглые (за исключением дров)</t>
  </si>
  <si>
    <t xml:space="preserve"> ЛЕСОМАТЕРИАЛЫ КРУГЛЫЕ БЕРЕЗОВОЙ И МЯГКОЛИСТВЕННЫХ ПОРОД</t>
  </si>
  <si>
    <t>ЛЕСОМАТЕРИАЛЫ КРУГЛЫЕ ТВЕРДОЛИСТВЕННЫХ ПОРОД</t>
  </si>
  <si>
    <t>(СТБ 1711-2007 ГОСТ 17462-84)</t>
  </si>
  <si>
    <t xml:space="preserve"> ЛЕСОМАТЕРИАЛЫ КРУГЛЫЕ ХВОЙНЫХ ПОРОД</t>
  </si>
  <si>
    <t>ФПС</t>
  </si>
  <si>
    <t>ФНС</t>
  </si>
  <si>
    <t>ФВСОтправления</t>
  </si>
  <si>
    <t>для выработки изделий различного назначения (сосна, ель)</t>
  </si>
  <si>
    <t>для выработки строганого шпона (сосна, лиственница)</t>
  </si>
  <si>
    <t xml:space="preserve">для выработки пиломатериалов и заготовок общего назначения (пиловочное бревно) </t>
  </si>
  <si>
    <t>для производства спичек (спичечное бревно)</t>
  </si>
  <si>
    <t>для вспомогательных и временных построек различного назначения (подтоварник)</t>
  </si>
  <si>
    <t>для выработки строганого шпона (дуб, ясень, клен, граб)</t>
  </si>
  <si>
    <t>ТУ РБ 100195503.014-2003</t>
  </si>
  <si>
    <t>Директор ГЛХУ "Жлобинский лесхоз"</t>
  </si>
  <si>
    <t>Цены</t>
  </si>
  <si>
    <t>ДРОВА</t>
  </si>
  <si>
    <t>№ п/п</t>
  </si>
  <si>
    <t>Влажность, %</t>
  </si>
  <si>
    <t>Цена за 1 плотный куб.м, бел.руб. без НДС</t>
  </si>
  <si>
    <t>Франко-верхний лесосклад</t>
  </si>
  <si>
    <t>Франко-промежуточны лесосклад</t>
  </si>
  <si>
    <t>Франко-вагон (судно) станция (пристань) отправления</t>
  </si>
  <si>
    <t>Сосна, ольха</t>
  </si>
  <si>
    <t>Береза, бук, ясень, граб, ильм, вяз, клен, дуб, лиственница</t>
  </si>
  <si>
    <t>Ель, кедр, пихта, осина, липа, тополь, ива</t>
  </si>
  <si>
    <t>на дрова в заготовленном виде  заготовляемые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франко-верхний лесосклад. франко-помежуточный лесосклад, франко-нижний лесосклад (склад предприятия), франко-вагон (судно) станция (пристань) отправления</t>
  </si>
  <si>
    <t>СТБ 1510-2012</t>
  </si>
  <si>
    <t>Приложение 2</t>
  </si>
  <si>
    <t xml:space="preserve">к решению </t>
  </si>
  <si>
    <t>Гомельского областного</t>
  </si>
  <si>
    <t>исполнительного комитета</t>
  </si>
  <si>
    <t>ДЛЯ НАСЕЛЕНИЯ</t>
  </si>
  <si>
    <t>Наименование породы дров</t>
  </si>
  <si>
    <t>Единица измерения</t>
  </si>
  <si>
    <t>Розничная цена, рублей</t>
  </si>
  <si>
    <t>Дрова смешанных пород длиной 2 метра</t>
  </si>
  <si>
    <t>1 плотный кубический метр</t>
  </si>
  <si>
    <t>Дрова смешанных пород длиной 1 метр</t>
  </si>
  <si>
    <t>Дрова смешанных пород длиной  менее 1 метра</t>
  </si>
  <si>
    <t>Цены на транспортно-эксплуатационные услуги</t>
  </si>
  <si>
    <t>Наименование работ, услуг</t>
  </si>
  <si>
    <t>Ед. изм.</t>
  </si>
  <si>
    <t>Отпускная цена  руб. без НДС</t>
  </si>
  <si>
    <t>МАЗ сортиментовоз  с прицепом</t>
  </si>
  <si>
    <t>1 м3</t>
  </si>
  <si>
    <t>1 км</t>
  </si>
  <si>
    <t>1 час</t>
  </si>
  <si>
    <t>1 ткм</t>
  </si>
  <si>
    <t>Автомобиль УАЗ</t>
  </si>
  <si>
    <t>Гужевой транспорт</t>
  </si>
  <si>
    <t>Прейскурант</t>
  </si>
  <si>
    <t>для выработки пиломатериалов и заготовок общего назначения (пиловочное бревно) (сосна, ель, лиственница, пихта)</t>
  </si>
  <si>
    <r>
      <t xml:space="preserve">для шпал железных дорог широкой колеи </t>
    </r>
    <r>
      <rPr>
        <b/>
        <u val="single"/>
        <sz val="14"/>
        <rFont val="Times New Roman"/>
        <family val="1"/>
      </rPr>
      <t xml:space="preserve">(шпальное бревно) </t>
    </r>
  </si>
  <si>
    <r>
      <t xml:space="preserve">2. Лесоматериалы для выработки </t>
    </r>
    <r>
      <rPr>
        <b/>
        <i/>
        <u val="single"/>
        <sz val="14"/>
        <rFont val="Times New Roman"/>
        <family val="1"/>
      </rPr>
      <t>оцилиндрованных изделий</t>
    </r>
  </si>
  <si>
    <r>
      <t xml:space="preserve">3. Лесоматериалы для выработки </t>
    </r>
    <r>
      <rPr>
        <b/>
        <i/>
        <u val="single"/>
        <sz val="14"/>
        <rFont val="Times New Roman"/>
        <family val="1"/>
      </rPr>
      <t>шпона</t>
    </r>
  </si>
  <si>
    <r>
      <t xml:space="preserve">4. Лесоматериалы для выработки целлюлозы и древесной массы </t>
    </r>
    <r>
      <rPr>
        <b/>
        <i/>
        <u val="single"/>
        <sz val="14"/>
        <rFont val="Times New Roman"/>
        <family val="1"/>
      </rPr>
      <t>(балансы)</t>
    </r>
  </si>
  <si>
    <r>
      <t>для вспомогательных и временных построек различного назначения</t>
    </r>
    <r>
      <rPr>
        <b/>
        <u val="single"/>
        <sz val="14"/>
        <rFont val="Times New Roman"/>
        <family val="1"/>
      </rPr>
      <t xml:space="preserve"> (подтоварник)</t>
    </r>
  </si>
  <si>
    <r>
      <t xml:space="preserve">6. Сырье древесное технологическое </t>
    </r>
    <r>
      <rPr>
        <b/>
        <i/>
        <u val="single"/>
        <sz val="14"/>
        <rFont val="Times New Roman"/>
        <family val="1"/>
      </rPr>
      <t>(техсырье)</t>
    </r>
  </si>
  <si>
    <t>УТВЕРЖДАЮ:</t>
  </si>
  <si>
    <t>Толщина см</t>
  </si>
  <si>
    <t>для выработки строганого шпона (береза и все мягколиственные породы)</t>
  </si>
  <si>
    <t>для выработки лущеного шпона (фанерное бревно) (береза, липа, ольха)</t>
  </si>
  <si>
    <t>32 и более</t>
  </si>
  <si>
    <t xml:space="preserve">Цены на посадочный материал, реализуемые с питомника </t>
  </si>
  <si>
    <t>Сеянцы древесных пород</t>
  </si>
  <si>
    <t>тыс.шт</t>
  </si>
  <si>
    <t>Сеянцы однолетние (ели)  1000 шт</t>
  </si>
  <si>
    <t>Сеянцы двухлетние (ели)  1000 шт</t>
  </si>
  <si>
    <t>Сеянцы трехлетние (ель) 1000 шт</t>
  </si>
  <si>
    <t>Сеянцы однолетние (сосна)  1000 шт</t>
  </si>
  <si>
    <t>Сеянцы двухлетние (сосна)  1000 шт</t>
  </si>
  <si>
    <t>Сеянцы однолетние (сосна) селекционные  1000 шт</t>
  </si>
  <si>
    <t>Сенцы однолетние (липа) за 1000 шт</t>
  </si>
  <si>
    <t>Сеянцы однолетние (дуб красный)  1000 шт</t>
  </si>
  <si>
    <t>Сеянцы трехлетние (дуб черешчатый) 1000 шт</t>
  </si>
  <si>
    <t>Сенцы однолетние (береза)  1000 шт</t>
  </si>
  <si>
    <t>Сеянцы однолетние (клен остролистный)  1000 шт</t>
  </si>
  <si>
    <t>Сеянцы однолетние (ясень)  1000 шт</t>
  </si>
  <si>
    <t>Сеянцы одна, двухлетние (каштан)  1000 шт</t>
  </si>
  <si>
    <t>шт</t>
  </si>
  <si>
    <t>Древесные растения</t>
  </si>
  <si>
    <t>Акация белая</t>
  </si>
  <si>
    <t>Береза до 1 м</t>
  </si>
  <si>
    <t>Бархат амурский</t>
  </si>
  <si>
    <t>Ель канадская до 1 м</t>
  </si>
  <si>
    <t>Ель калючая до 0,5 м</t>
  </si>
  <si>
    <t>Ель калючая до 1,5 м</t>
  </si>
  <si>
    <t>Ель калючая до 2,5 м</t>
  </si>
  <si>
    <t>Ель обыкновенная до 0,5 м</t>
  </si>
  <si>
    <t>Ива остролистная до 2,0 м</t>
  </si>
  <si>
    <t>Каштан до 1,5 м</t>
  </si>
  <si>
    <t>Клен до 1 м</t>
  </si>
  <si>
    <t>Липа крупнолистная до 0,5 м</t>
  </si>
  <si>
    <t>Лиственница до 2,5 м</t>
  </si>
  <si>
    <t>Рябина обыкновенная до 1,5 м</t>
  </si>
  <si>
    <t>Сосна до 1 м</t>
  </si>
  <si>
    <t>Туя западная до 0,5 м</t>
  </si>
  <si>
    <t>Туя шаровидная до 1,5 м</t>
  </si>
  <si>
    <t>Туя шаровидная до 0,5 м</t>
  </si>
  <si>
    <t>Ясень обыкновенный до 1 м</t>
  </si>
  <si>
    <t>Кустарники</t>
  </si>
  <si>
    <t>Айва японская до 1 м</t>
  </si>
  <si>
    <t>Арония черноплодная до 0,5 м</t>
  </si>
  <si>
    <t>Арония черноплодная до 1,5 м</t>
  </si>
  <si>
    <t>Аморфа кустарниковая</t>
  </si>
  <si>
    <t>Барбарис обыкновенный до 1 м</t>
  </si>
  <si>
    <t>Барбарис Тумберга до 1 м</t>
  </si>
  <si>
    <t>Бересклет</t>
  </si>
  <si>
    <t>Боярышник</t>
  </si>
  <si>
    <t>Бузина черная</t>
  </si>
  <si>
    <t>Вейгела гибридная</t>
  </si>
  <si>
    <t>Войлочная вишня</t>
  </si>
  <si>
    <t>Гортензия</t>
  </si>
  <si>
    <t>Дейция шершавая</t>
  </si>
  <si>
    <t>Дерн крававо-красный до 1 м</t>
  </si>
  <si>
    <t>Жимолость покрывающая</t>
  </si>
  <si>
    <t>Калина обыкновенная до 0,5 м</t>
  </si>
  <si>
    <t>Кизильник блестящий</t>
  </si>
  <si>
    <t>Магония подуболистная до 1 м</t>
  </si>
  <si>
    <t>Можжевельник обыкновенный до 0,5 м</t>
  </si>
  <si>
    <t>Можжевельник казацкий до 0,5 м</t>
  </si>
  <si>
    <t>Форзиция до 2,0 м</t>
  </si>
  <si>
    <t>Чай Курильский</t>
  </si>
  <si>
    <t>Саженцы с закрытой корневой системой</t>
  </si>
  <si>
    <t>Барбарис обыкновенный до 0,5 м</t>
  </si>
  <si>
    <t>Вейгела до 1м</t>
  </si>
  <si>
    <t xml:space="preserve"> </t>
  </si>
  <si>
    <t>Магония подуболистная до 0,5 м</t>
  </si>
  <si>
    <t>Спирея  до 1 м</t>
  </si>
  <si>
    <t>Туя западная Смаракт до 0,5 м</t>
  </si>
  <si>
    <t>Туя Реенское золото до 0,5 м</t>
  </si>
  <si>
    <t>Форзиция до 1 м</t>
  </si>
  <si>
    <t>Цены на сок березовый</t>
  </si>
  <si>
    <t>Сок березовый ТУ РБ 00969296.002-97</t>
  </si>
  <si>
    <t>1 литр</t>
  </si>
  <si>
    <t>1 тонна</t>
  </si>
  <si>
    <t>1 шт</t>
  </si>
  <si>
    <t>Наименование услуги</t>
  </si>
  <si>
    <t>Описание</t>
  </si>
  <si>
    <t>Цена без НДС, рублей</t>
  </si>
  <si>
    <t>Проживание, пользование кухней, холодильником, посудой, микроволновкой предоставление постельных принадлежностей</t>
  </si>
  <si>
    <t>Сутки за домик</t>
  </si>
  <si>
    <t>Дом охотника (8 мест)</t>
  </si>
  <si>
    <t>Проживание 1 чел. в сутки в летний период</t>
  </si>
  <si>
    <t>Сутки</t>
  </si>
  <si>
    <t>Проживание 1 чел. в сутки в отопительный период период</t>
  </si>
  <si>
    <t>Услуги за пользование баней</t>
  </si>
  <si>
    <t>Веник банный</t>
  </si>
  <si>
    <t>Простынь в баню</t>
  </si>
  <si>
    <t>Прокат мангала с шампурами</t>
  </si>
  <si>
    <t>С предоставлением дров</t>
  </si>
  <si>
    <t>Стоянка автомобиля на территории</t>
  </si>
  <si>
    <t>Прокат беседки вместимостью до 80 человек</t>
  </si>
  <si>
    <t>Прокат беседки  от 5-10 чел</t>
  </si>
  <si>
    <t xml:space="preserve">Аренда комплекса </t>
  </si>
  <si>
    <t>Проживание, пользование баней, беседкой</t>
  </si>
  <si>
    <t xml:space="preserve">Прейскурант отпускных цен (тарифов) на оказание услуг в охотничье-туристическом комплексе "Фольварк-Бельчо"  </t>
  </si>
  <si>
    <t>Орех маньчжурский до 1,0 м</t>
  </si>
  <si>
    <t>Можжевельник обыкновенный до 1,0 м</t>
  </si>
  <si>
    <t>Можжевельник виргинский до 0,5 м</t>
  </si>
  <si>
    <t>Можжевельник виргинский до 1,0 м</t>
  </si>
  <si>
    <t>Можжевельник скальный до 0,5 м</t>
  </si>
  <si>
    <t>Можжевельник скальный до 1,0 м</t>
  </si>
  <si>
    <t>Можжевельник даурский до 0,5 м</t>
  </si>
  <si>
    <t>Пихта белая</t>
  </si>
  <si>
    <t>Самшит вечнозеленый</t>
  </si>
  <si>
    <t>Туя западная до 1,0 м</t>
  </si>
  <si>
    <t>Туя западная Смаракт до 1,0 м</t>
  </si>
  <si>
    <t>Туя вересковидная до 0,5 м</t>
  </si>
  <si>
    <t>Барбарис Тунберга до 0,5 м</t>
  </si>
  <si>
    <t>Е.Ю.Наркевич</t>
  </si>
  <si>
    <t>Цена за 1 плотный куб.м, бел.руб., без НДС</t>
  </si>
  <si>
    <t>4. Сырье древесное для выработки дубильных экстрактов</t>
  </si>
  <si>
    <t>5. ЖЕРДИ</t>
  </si>
  <si>
    <t>Франко-нижний лесосклад (склад п/п)</t>
  </si>
  <si>
    <t xml:space="preserve">                                 Е.Ю.Наркевич</t>
  </si>
  <si>
    <t>Устройство ZPI</t>
  </si>
  <si>
    <t>1 га</t>
  </si>
  <si>
    <t>Сеянцы двухлетние (дуб черешчатый)        1000 шт</t>
  </si>
  <si>
    <t>Сеянцы однолетние (дуб черешчатый)       1000 шт</t>
  </si>
  <si>
    <t xml:space="preserve">                                    УТВЕРЖДАЮ:</t>
  </si>
  <si>
    <t>Дом в стиле Фахверк (4 места)</t>
  </si>
  <si>
    <t>Дом в стиле Шале (3 места)</t>
  </si>
  <si>
    <t>Дом в  Скандинавском стиле (6 мест)</t>
  </si>
  <si>
    <t>Дом в  стиле Прованс (4 мест)</t>
  </si>
  <si>
    <t>Хостел (16 мест)</t>
  </si>
  <si>
    <t>Услуга бильярда</t>
  </si>
  <si>
    <t>Ольха черная до 1 м</t>
  </si>
  <si>
    <t>Сосна до 2 м</t>
  </si>
  <si>
    <t>Туя западная до 1,5 м</t>
  </si>
  <si>
    <t>Барбарис обыкновенный до 1,5 м</t>
  </si>
  <si>
    <t>Барбарис Тумберга до 1,5 м</t>
  </si>
  <si>
    <t>Бирючина</t>
  </si>
  <si>
    <t>Можжевельник казацкий до 1,0 м</t>
  </si>
  <si>
    <t>Туя западная золотистокончиковая до 1,0 м</t>
  </si>
  <si>
    <t>Можжевельник стелющийся до 1,0 м</t>
  </si>
  <si>
    <t>Ель канадская до 0,5 м</t>
  </si>
  <si>
    <t>Тисс ягодный</t>
  </si>
  <si>
    <t>Туя шаровидная Даника до 0,5 м</t>
  </si>
  <si>
    <t>Туя шаровидная Голден Глоб до 0,5 м</t>
  </si>
  <si>
    <t>Кипарисовик Санголд до 0,5 м</t>
  </si>
  <si>
    <t>Можжевельник Голд Стар до 1,0 м</t>
  </si>
  <si>
    <t>Ель голубая</t>
  </si>
  <si>
    <t>Лиственница европейская до 0,5 м</t>
  </si>
  <si>
    <t>Сосна обыкновенная до 1,0 м</t>
  </si>
  <si>
    <t>Чай курильский (лапчатка)</t>
  </si>
  <si>
    <t>Сеянцы трехлетние (сосна)  1000 шт</t>
  </si>
  <si>
    <t>Голубика Патриот</t>
  </si>
  <si>
    <t>Голубика Дениз Блю</t>
  </si>
  <si>
    <t>Скумпия</t>
  </si>
  <si>
    <t>Франко-лесосека</t>
  </si>
  <si>
    <t>Франко-склад лесничества</t>
  </si>
  <si>
    <t>2 метровые</t>
  </si>
  <si>
    <t>4 метровые</t>
  </si>
  <si>
    <t>Длинна</t>
  </si>
  <si>
    <t>1 метровые</t>
  </si>
  <si>
    <t>Трактор МТЗ-82, МПТЛ</t>
  </si>
  <si>
    <t>Цена  оказания услуг бани из расчета 5 человек.</t>
  </si>
  <si>
    <t>Проживание 1 человека</t>
  </si>
  <si>
    <t>Экскурсия «Между Днепром и Березиной. Историческое путешествие по Жлобинской земле»</t>
  </si>
  <si>
    <t>1 чел</t>
  </si>
  <si>
    <t>Автобус, экскурсовод, питание ланч-бокс, группа 8 человек</t>
  </si>
  <si>
    <t>Сеянцы однолетние (лиственница)  1000 шт</t>
  </si>
  <si>
    <t>Сеянцы двухлетние и более (лиственница)    1000 шт</t>
  </si>
  <si>
    <t>Береза свыше 1 м</t>
  </si>
  <si>
    <t>Дуб красный до 2 м</t>
  </si>
  <si>
    <t>Дуб красный свыше 2 м</t>
  </si>
  <si>
    <t>Дуб черешчатый до 1,5 м</t>
  </si>
  <si>
    <t>Дуб черешчатый свыше 1,5 м</t>
  </si>
  <si>
    <t>Ель канадская свыше 1 м</t>
  </si>
  <si>
    <t>Ель обыкновенная свыше 0,5 м</t>
  </si>
  <si>
    <t>Ива плакучая до 1,0 м</t>
  </si>
  <si>
    <t>Ива плакучая свыше 1,0 м</t>
  </si>
  <si>
    <t>Ива остролистная до 1,0 м</t>
  </si>
  <si>
    <t>Клен свыше 1 м</t>
  </si>
  <si>
    <t>Липа мелколиственная до 0,5 м</t>
  </si>
  <si>
    <t>Липа мелколиственная свыше 0,5 м</t>
  </si>
  <si>
    <t>Липа крупнолистная свыше 0,5 м</t>
  </si>
  <si>
    <t>Лиственница свыше 2,5 м</t>
  </si>
  <si>
    <t>Ольха черная свыше 1 м</t>
  </si>
  <si>
    <t>Орех грецкий до 1,0 м</t>
  </si>
  <si>
    <t>Рябина обыкновенная свыше 1,5 м</t>
  </si>
  <si>
    <t>Ясень обыкновенный свыше 1 м</t>
  </si>
  <si>
    <t>Абрикос</t>
  </si>
  <si>
    <t>Ива извилистая до 1 м</t>
  </si>
  <si>
    <t>Ива извилистая свыше 1 м</t>
  </si>
  <si>
    <t>Ива козья до 1 м</t>
  </si>
  <si>
    <t>Ива козья свыше 1 м</t>
  </si>
  <si>
    <t>Можжевельник виргинский</t>
  </si>
  <si>
    <t>Можжевельник скальный до 1 м</t>
  </si>
  <si>
    <t>Можжевельник скальный свыше 1 м</t>
  </si>
  <si>
    <t xml:space="preserve">Сумах </t>
  </si>
  <si>
    <t>Туя восточная до 1 м</t>
  </si>
  <si>
    <t xml:space="preserve">Акация желтая </t>
  </si>
  <si>
    <t>Дерн крававо-красный свыше 1 м</t>
  </si>
  <si>
    <t>Ива пурпурная до 1,0 м</t>
  </si>
  <si>
    <t>Ива пурпурная свыше 1,0 м</t>
  </si>
  <si>
    <t>Калина обыкновенная до 1,0 м</t>
  </si>
  <si>
    <t>Сирень до 1,0 м</t>
  </si>
  <si>
    <t>Спирея японская до 1,5 м</t>
  </si>
  <si>
    <t>Спирея дугласа до 1,5 м</t>
  </si>
  <si>
    <t>Спирея калинолистная до 1,5 м</t>
  </si>
  <si>
    <t>Форзиция до 1,0 м</t>
  </si>
  <si>
    <t>Чубушник</t>
  </si>
  <si>
    <t>Шиповник</t>
  </si>
  <si>
    <t>Дерн белый до 1 м</t>
  </si>
  <si>
    <t>Дерн белый свыше 1 м</t>
  </si>
  <si>
    <t>Можжевельник даурский до 1,0 м</t>
  </si>
  <si>
    <t xml:space="preserve">Скумпия </t>
  </si>
  <si>
    <t>Туя Рейнголд</t>
  </si>
  <si>
    <t>Ива плакучая до 1,5 м</t>
  </si>
  <si>
    <t xml:space="preserve">Абрикос </t>
  </si>
  <si>
    <t xml:space="preserve">Гортензия </t>
  </si>
  <si>
    <t xml:space="preserve">Дейция </t>
  </si>
  <si>
    <t>Дерен кроваво-красный</t>
  </si>
  <si>
    <t>Ель коника</t>
  </si>
  <si>
    <t xml:space="preserve">Ива пурпурная </t>
  </si>
  <si>
    <t>Ива остролистная</t>
  </si>
  <si>
    <t>Каштан</t>
  </si>
  <si>
    <t>Клен</t>
  </si>
  <si>
    <t>Липа</t>
  </si>
  <si>
    <t>Можжевельник китайский</t>
  </si>
  <si>
    <t>Можжевельник чешуйчатый</t>
  </si>
  <si>
    <t>Сосна кедровая</t>
  </si>
  <si>
    <t>Туя Глобоза</t>
  </si>
  <si>
    <t>Туя западная Брабант до 1,0 м</t>
  </si>
  <si>
    <t>Сирень</t>
  </si>
  <si>
    <t>Птелея</t>
  </si>
  <si>
    <t>Туя восточная</t>
  </si>
  <si>
    <t>Туя складчатая Корник до 0,5</t>
  </si>
  <si>
    <t>Туя складчатая Корник свыше 0,5</t>
  </si>
  <si>
    <t xml:space="preserve">Туя Тедди </t>
  </si>
  <si>
    <t>Сеянцы однолетние (аморфа кустариниковая) 1000 шт</t>
  </si>
  <si>
    <t>Дерн белый до 1,5 м</t>
  </si>
  <si>
    <t>27.02.2019 №167</t>
  </si>
  <si>
    <t xml:space="preserve">на дрова, реализуемые населению для отопления на условиях франко-лесосека  </t>
  </si>
  <si>
    <t>Дрова длинной 4 метра</t>
  </si>
  <si>
    <t>4.1</t>
  </si>
  <si>
    <t>4.2</t>
  </si>
  <si>
    <t>4.3</t>
  </si>
  <si>
    <t>Береза, граб, вяз, клен, бук, ильм, литсвенница</t>
  </si>
  <si>
    <t>Осина, тополь,липа, ива, ель, кедр, пихта</t>
  </si>
  <si>
    <t>Сырые            ( свыше 25 )</t>
  </si>
  <si>
    <t>Сырые       (свыше 25 )</t>
  </si>
  <si>
    <t>Грузовой седельный тягач МАЗ с полуприцепом специальный платформа (трал)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</si>
</sst>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00"/>
    <numFmt numFmtId="187" formatCode="0.0000000"/>
    <numFmt numFmtId="188" formatCode="0.000000"/>
    <numFmt numFmtId="189" formatCode="0.00000"/>
    <numFmt numFmtId="190" formatCode="[$€-2]\ ###,000_);[Red]\([$€-2]\ ###,000\)"/>
    <numFmt numFmtId="191" formatCode="0.0%"/>
    <numFmt numFmtId="192" formatCode="#,##0.0"/>
    <numFmt numFmtId="193" formatCode="#,##0&quot;р.&quot;"/>
    <numFmt numFmtId="194" formatCode="_-* #,##0.0_р_._-;\-* #,##0.0_р_._-;_-* &quot;-&quot;_р_._-;_-@_-"/>
    <numFmt numFmtId="195" formatCode="_-* #,##0.00_р_._-;\-* #,##0.00_р_._-;_-* &quot;-&quot;_р_._-;_-@_-"/>
    <numFmt numFmtId="196" formatCode="#,##0.000"/>
    <numFmt numFmtId="197" formatCode="#,##0.0000"/>
    <numFmt numFmtId="198" formatCode="#,##0.00000"/>
    <numFmt numFmtId="199" formatCode="_-* #,##0.0_р_._-;\-* #,##0.0_р_._-;_-* &quot;-&quot;?_р_._-;_-@_-"/>
    <numFmt numFmtId="200" formatCode="[$-FC19]d\ mmmm\ yyyy\ &quot;г.&quot;"/>
    <numFmt numFmtId="201" formatCode="_-* #,##0_р_._-;\-* #,##0_р_._-;_-* &quot;-&quot;?_р_._-;_-@_-"/>
    <numFmt numFmtId="202" formatCode="[$€-2]\ #,##0.00"/>
    <numFmt numFmtId="203" formatCode="#,##0_р_."/>
    <numFmt numFmtId="204" formatCode="#,##0.000000"/>
    <numFmt numFmtId="205" formatCode="0.000000000"/>
    <numFmt numFmtId="206" formatCode="0.0000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u val="double"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Times New Roman"/>
      <family val="1"/>
    </font>
    <font>
      <sz val="14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0" fontId="7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top"/>
    </xf>
    <xf numFmtId="0" fontId="15" fillId="0" borderId="2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25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left" vertical="top" wrapText="1"/>
    </xf>
    <xf numFmtId="4" fontId="15" fillId="0" borderId="25" xfId="0" applyNumberFormat="1" applyFont="1" applyBorder="1" applyAlignment="1">
      <alignment horizontal="center" vertical="top" wrapText="1"/>
    </xf>
    <xf numFmtId="4" fontId="15" fillId="0" borderId="25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25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4" fontId="15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" fontId="15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" fontId="57" fillId="0" borderId="36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7" fillId="0" borderId="39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 wrapText="1"/>
    </xf>
    <xf numFmtId="4" fontId="15" fillId="0" borderId="42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49" fontId="15" fillId="0" borderId="27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/>
    </xf>
    <xf numFmtId="4" fontId="15" fillId="0" borderId="46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/>
    </xf>
    <xf numFmtId="0" fontId="11" fillId="4" borderId="25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3" fontId="56" fillId="0" borderId="0" xfId="0" applyNumberFormat="1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top" wrapText="1"/>
    </xf>
    <xf numFmtId="0" fontId="11" fillId="4" borderId="51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" fontId="15" fillId="0" borderId="36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center"/>
    </xf>
    <xf numFmtId="4" fontId="15" fillId="0" borderId="39" xfId="0" applyNumberFormat="1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5" fillId="0" borderId="52" xfId="0" applyNumberFormat="1" applyFont="1" applyBorder="1" applyAlignment="1">
      <alignment horizontal="center" vertical="center" wrapText="1"/>
    </xf>
    <xf numFmtId="4" fontId="15" fillId="0" borderId="53" xfId="0" applyNumberFormat="1" applyFont="1" applyBorder="1" applyAlignment="1">
      <alignment horizontal="center" vertical="center"/>
    </xf>
    <xf numFmtId="192" fontId="15" fillId="0" borderId="25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4" fontId="15" fillId="0" borderId="16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 wrapText="1"/>
    </xf>
    <xf numFmtId="4" fontId="15" fillId="0" borderId="25" xfId="0" applyNumberFormat="1" applyFont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/>
    </xf>
    <xf numFmtId="2" fontId="15" fillId="0" borderId="25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25" xfId="0" applyFont="1" applyBorder="1" applyAlignment="1">
      <alignment wrapText="1"/>
    </xf>
    <xf numFmtId="0" fontId="16" fillId="0" borderId="25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vertical="center" wrapText="1"/>
    </xf>
    <xf numFmtId="4" fontId="15" fillId="0" borderId="16" xfId="0" applyNumberFormat="1" applyFont="1" applyBorder="1" applyAlignment="1">
      <alignment horizontal="center" vertical="top" wrapText="1"/>
    </xf>
    <xf numFmtId="3" fontId="15" fillId="0" borderId="16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left" vertical="center" wrapText="1"/>
    </xf>
    <xf numFmtId="49" fontId="15" fillId="0" borderId="25" xfId="0" applyNumberFormat="1" applyFont="1" applyBorder="1" applyAlignment="1">
      <alignment horizontal="center" vertical="top"/>
    </xf>
    <xf numFmtId="192" fontId="15" fillId="0" borderId="2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34" borderId="0" xfId="0" applyFont="1" applyFill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6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61" xfId="0" applyNumberFormat="1" applyFont="1" applyBorder="1" applyAlignment="1">
      <alignment horizontal="center" vertical="center"/>
    </xf>
    <xf numFmtId="4" fontId="15" fillId="0" borderId="62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5" fillId="0" borderId="63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top" wrapText="1"/>
    </xf>
    <xf numFmtId="0" fontId="15" fillId="0" borderId="66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5" fillId="0" borderId="55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5" fillId="0" borderId="40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6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66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49" fontId="15" fillId="0" borderId="2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3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5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8" sqref="C18:C20"/>
    </sheetView>
  </sheetViews>
  <sheetFormatPr defaultColWidth="9.00390625" defaultRowHeight="12.75"/>
  <cols>
    <col min="1" max="1" width="3.25390625" style="1" customWidth="1"/>
    <col min="2" max="4" width="20.625" style="1" customWidth="1"/>
    <col min="5" max="5" width="23.625" style="1" customWidth="1"/>
    <col min="6" max="6" width="6.875" style="1" customWidth="1"/>
    <col min="7" max="7" width="14.75390625" style="8" customWidth="1"/>
    <col min="8" max="16384" width="9.125" style="1" customWidth="1"/>
  </cols>
  <sheetData>
    <row r="1" spans="1:6" ht="19.5">
      <c r="A1" s="227" t="s">
        <v>14</v>
      </c>
      <c r="B1" s="227"/>
      <c r="C1" s="227"/>
      <c r="D1" s="227"/>
      <c r="E1" s="227"/>
      <c r="F1" s="227"/>
    </row>
    <row r="2" spans="1:6" ht="15.75">
      <c r="A2" s="220" t="s">
        <v>15</v>
      </c>
      <c r="B2" s="220"/>
      <c r="C2" s="220"/>
      <c r="D2" s="220"/>
      <c r="E2" s="220"/>
      <c r="F2" s="220"/>
    </row>
    <row r="3" spans="1:6" ht="15.75">
      <c r="A3" s="228" t="s">
        <v>0</v>
      </c>
      <c r="B3" s="228"/>
      <c r="C3" s="228"/>
      <c r="D3" s="228"/>
      <c r="E3" s="228"/>
      <c r="F3" s="228"/>
    </row>
    <row r="4" spans="1:6" ht="15.75">
      <c r="A4" s="220" t="s">
        <v>25</v>
      </c>
      <c r="B4" s="220"/>
      <c r="C4" s="220"/>
      <c r="D4" s="220"/>
      <c r="E4" s="220"/>
      <c r="F4" s="220"/>
    </row>
    <row r="5" spans="1:6" ht="15.75">
      <c r="A5" s="229" t="s">
        <v>1</v>
      </c>
      <c r="B5" s="229"/>
      <c r="C5" s="229"/>
      <c r="D5" s="229"/>
      <c r="E5" s="229"/>
      <c r="F5" s="229"/>
    </row>
    <row r="6" spans="1:6" ht="15.75">
      <c r="A6" s="215" t="s">
        <v>2</v>
      </c>
      <c r="B6" s="215"/>
      <c r="C6" s="215"/>
      <c r="D6" s="215"/>
      <c r="E6" s="215"/>
      <c r="F6" s="215"/>
    </row>
    <row r="7" spans="1:7" ht="35.25" customHeight="1" thickBot="1">
      <c r="A7" s="212" t="s">
        <v>31</v>
      </c>
      <c r="B7" s="212"/>
      <c r="C7" s="212"/>
      <c r="D7" s="212"/>
      <c r="E7" s="212"/>
      <c r="F7" s="212"/>
      <c r="G7" s="9"/>
    </row>
    <row r="8" spans="1:7" ht="30.75" thickBot="1">
      <c r="A8" s="3"/>
      <c r="B8" s="4" t="s">
        <v>3</v>
      </c>
      <c r="C8" s="5" t="s">
        <v>5</v>
      </c>
      <c r="D8" s="5" t="s">
        <v>4</v>
      </c>
      <c r="E8" s="6" t="s">
        <v>6</v>
      </c>
      <c r="F8" s="3"/>
      <c r="G8" s="9" t="s">
        <v>24</v>
      </c>
    </row>
    <row r="9" spans="1:7" ht="15.75">
      <c r="A9" s="3"/>
      <c r="B9" s="216" t="s">
        <v>7</v>
      </c>
      <c r="C9" s="219" t="s">
        <v>16</v>
      </c>
      <c r="D9" s="11">
        <v>1</v>
      </c>
      <c r="E9" s="18">
        <f>ROUND(E10*1.2/10,0)*10</f>
        <v>178200</v>
      </c>
      <c r="F9" s="7"/>
      <c r="G9" s="10">
        <f>E9+(E9*20/100)</f>
        <v>213840</v>
      </c>
    </row>
    <row r="10" spans="1:7" ht="15.75">
      <c r="A10" s="3"/>
      <c r="B10" s="217"/>
      <c r="C10" s="223"/>
      <c r="D10" s="12">
        <v>2</v>
      </c>
      <c r="E10" s="16">
        <v>148500</v>
      </c>
      <c r="F10" s="7"/>
      <c r="G10" s="10">
        <f aca="true" t="shared" si="0" ref="G10:G156">E10+(E10*20/100)</f>
        <v>178200</v>
      </c>
    </row>
    <row r="11" spans="1:7" ht="15.75">
      <c r="A11" s="3"/>
      <c r="B11" s="217"/>
      <c r="C11" s="208"/>
      <c r="D11" s="13">
        <v>3</v>
      </c>
      <c r="E11" s="19">
        <f>ROUND(E10*0.8/10,0)*10</f>
        <v>118800</v>
      </c>
      <c r="F11" s="7"/>
      <c r="G11" s="10">
        <f t="shared" si="0"/>
        <v>142560</v>
      </c>
    </row>
    <row r="12" spans="1:7" ht="15.75">
      <c r="A12" s="3"/>
      <c r="B12" s="217"/>
      <c r="C12" s="207" t="s">
        <v>18</v>
      </c>
      <c r="D12" s="12">
        <v>1</v>
      </c>
      <c r="E12" s="20">
        <f>ROUND(E13*1.2/10,0)*10</f>
        <v>232080</v>
      </c>
      <c r="F12" s="7"/>
      <c r="G12" s="10">
        <f t="shared" si="0"/>
        <v>278496</v>
      </c>
    </row>
    <row r="13" spans="1:7" ht="15.75">
      <c r="A13" s="3"/>
      <c r="B13" s="217"/>
      <c r="C13" s="223"/>
      <c r="D13" s="12">
        <v>2</v>
      </c>
      <c r="E13" s="16">
        <v>193400</v>
      </c>
      <c r="F13" s="7"/>
      <c r="G13" s="10">
        <f t="shared" si="0"/>
        <v>232080</v>
      </c>
    </row>
    <row r="14" spans="1:7" ht="15.75">
      <c r="A14" s="3"/>
      <c r="B14" s="217"/>
      <c r="C14" s="208"/>
      <c r="D14" s="13">
        <v>3</v>
      </c>
      <c r="E14" s="19">
        <f>ROUND(E13*0.8/10,0)*10</f>
        <v>154720</v>
      </c>
      <c r="F14" s="7"/>
      <c r="G14" s="10">
        <f t="shared" si="0"/>
        <v>185664</v>
      </c>
    </row>
    <row r="15" spans="1:7" ht="15.75">
      <c r="A15" s="3"/>
      <c r="B15" s="217"/>
      <c r="C15" s="207" t="s">
        <v>19</v>
      </c>
      <c r="D15" s="12">
        <v>1</v>
      </c>
      <c r="E15" s="20">
        <f>ROUND(E16*1.2/10,0)*10</f>
        <v>301320</v>
      </c>
      <c r="F15" s="7"/>
      <c r="G15" s="10">
        <f t="shared" si="0"/>
        <v>361584</v>
      </c>
    </row>
    <row r="16" spans="1:7" ht="15.75">
      <c r="A16" s="3"/>
      <c r="B16" s="217"/>
      <c r="C16" s="223"/>
      <c r="D16" s="12">
        <v>2</v>
      </c>
      <c r="E16" s="16">
        <v>251100</v>
      </c>
      <c r="F16" s="7"/>
      <c r="G16" s="10">
        <f t="shared" si="0"/>
        <v>301320</v>
      </c>
    </row>
    <row r="17" spans="1:7" ht="15.75">
      <c r="A17" s="3"/>
      <c r="B17" s="217"/>
      <c r="C17" s="208"/>
      <c r="D17" s="13">
        <v>3</v>
      </c>
      <c r="E17" s="19">
        <f>ROUND(E16*0.8/10,0)*10</f>
        <v>200880</v>
      </c>
      <c r="F17" s="7"/>
      <c r="G17" s="10">
        <f t="shared" si="0"/>
        <v>241056</v>
      </c>
    </row>
    <row r="18" spans="1:7" ht="15.75">
      <c r="A18" s="3"/>
      <c r="B18" s="217"/>
      <c r="C18" s="207" t="s">
        <v>13</v>
      </c>
      <c r="D18" s="12">
        <v>1</v>
      </c>
      <c r="E18" s="20">
        <f>ROUND(E19*1.2/10,0)*10</f>
        <v>399840</v>
      </c>
      <c r="F18" s="7"/>
      <c r="G18" s="10">
        <f t="shared" si="0"/>
        <v>479808</v>
      </c>
    </row>
    <row r="19" spans="1:7" ht="15.75">
      <c r="A19" s="3"/>
      <c r="B19" s="217"/>
      <c r="C19" s="223"/>
      <c r="D19" s="12">
        <v>2</v>
      </c>
      <c r="E19" s="16">
        <v>333200</v>
      </c>
      <c r="F19" s="7"/>
      <c r="G19" s="10">
        <f t="shared" si="0"/>
        <v>399840</v>
      </c>
    </row>
    <row r="20" spans="1:7" ht="16.5" thickBot="1">
      <c r="A20" s="3"/>
      <c r="B20" s="218"/>
      <c r="C20" s="209"/>
      <c r="D20" s="15">
        <v>3</v>
      </c>
      <c r="E20" s="17">
        <f>ROUND(E19*0.8/10,0)*10</f>
        <v>266560</v>
      </c>
      <c r="F20" s="7"/>
      <c r="G20" s="10">
        <f t="shared" si="0"/>
        <v>319872</v>
      </c>
    </row>
    <row r="21" spans="1:7" ht="15.75">
      <c r="A21" s="220" t="s">
        <v>26</v>
      </c>
      <c r="B21" s="220"/>
      <c r="C21" s="220"/>
      <c r="D21" s="220"/>
      <c r="E21" s="220"/>
      <c r="F21" s="220"/>
      <c r="G21" s="10"/>
    </row>
    <row r="22" spans="1:7" ht="16.5" thickBot="1">
      <c r="A22" s="220" t="s">
        <v>27</v>
      </c>
      <c r="B22" s="220"/>
      <c r="C22" s="220"/>
      <c r="D22" s="220"/>
      <c r="E22" s="220"/>
      <c r="F22" s="220"/>
      <c r="G22" s="10"/>
    </row>
    <row r="23" spans="1:7" ht="30.75" thickBot="1">
      <c r="A23" s="3"/>
      <c r="B23" s="4" t="s">
        <v>3</v>
      </c>
      <c r="C23" s="5" t="s">
        <v>5</v>
      </c>
      <c r="D23" s="5" t="s">
        <v>4</v>
      </c>
      <c r="E23" s="6" t="s">
        <v>6</v>
      </c>
      <c r="F23" s="7"/>
      <c r="G23" s="10"/>
    </row>
    <row r="24" spans="1:7" ht="15.75">
      <c r="A24" s="3"/>
      <c r="B24" s="230" t="s">
        <v>28</v>
      </c>
      <c r="C24" s="223" t="s">
        <v>13</v>
      </c>
      <c r="D24" s="12" t="s">
        <v>22</v>
      </c>
      <c r="E24" s="16">
        <f>ROUND(E25*1.2/10,0)*10</f>
        <v>501000</v>
      </c>
      <c r="F24" s="7"/>
      <c r="G24" s="10">
        <f t="shared" si="0"/>
        <v>601200</v>
      </c>
    </row>
    <row r="25" spans="1:7" ht="15.75">
      <c r="A25" s="3"/>
      <c r="B25" s="230"/>
      <c r="C25" s="223"/>
      <c r="D25" s="12" t="s">
        <v>23</v>
      </c>
      <c r="E25" s="16">
        <v>417500</v>
      </c>
      <c r="F25" s="7"/>
      <c r="G25" s="10">
        <f t="shared" si="0"/>
        <v>501000</v>
      </c>
    </row>
    <row r="26" spans="1:7" ht="16.5" thickBot="1">
      <c r="A26" s="3"/>
      <c r="B26" s="231"/>
      <c r="C26" s="209"/>
      <c r="D26" s="15" t="s">
        <v>29</v>
      </c>
      <c r="E26" s="17">
        <f>ROUND(E25*0.8/10,0)*10</f>
        <v>334000</v>
      </c>
      <c r="F26" s="7"/>
      <c r="G26" s="10">
        <f t="shared" si="0"/>
        <v>400800</v>
      </c>
    </row>
    <row r="27" spans="1:7" ht="15.75">
      <c r="A27" s="215" t="s">
        <v>30</v>
      </c>
      <c r="B27" s="215"/>
      <c r="C27" s="215"/>
      <c r="D27" s="215"/>
      <c r="E27" s="215"/>
      <c r="F27" s="215"/>
      <c r="G27" s="10"/>
    </row>
    <row r="28" spans="1:7" ht="16.5" thickBot="1">
      <c r="A28" s="220" t="s">
        <v>35</v>
      </c>
      <c r="B28" s="220"/>
      <c r="C28" s="220"/>
      <c r="D28" s="220"/>
      <c r="E28" s="220"/>
      <c r="F28" s="220"/>
      <c r="G28" s="10"/>
    </row>
    <row r="29" spans="1:7" ht="30.75" thickBot="1">
      <c r="A29" s="3"/>
      <c r="B29" s="4" t="s">
        <v>3</v>
      </c>
      <c r="C29" s="5" t="s">
        <v>5</v>
      </c>
      <c r="D29" s="5" t="s">
        <v>4</v>
      </c>
      <c r="E29" s="6" t="s">
        <v>6</v>
      </c>
      <c r="F29" s="7"/>
      <c r="G29" s="10"/>
    </row>
    <row r="30" spans="1:7" ht="15.75">
      <c r="A30" s="3"/>
      <c r="B30" s="230" t="s">
        <v>8</v>
      </c>
      <c r="C30" s="223" t="s">
        <v>32</v>
      </c>
      <c r="D30" s="12" t="s">
        <v>22</v>
      </c>
      <c r="E30" s="16">
        <f>ROUND(E31*1.2/10,0)*10</f>
        <v>174000</v>
      </c>
      <c r="F30" s="7"/>
      <c r="G30" s="10">
        <f t="shared" si="0"/>
        <v>208800</v>
      </c>
    </row>
    <row r="31" spans="1:7" ht="15.75">
      <c r="A31" s="3"/>
      <c r="B31" s="230"/>
      <c r="C31" s="223"/>
      <c r="D31" s="12" t="s">
        <v>23</v>
      </c>
      <c r="E31" s="16">
        <v>145000</v>
      </c>
      <c r="F31" s="7"/>
      <c r="G31" s="10">
        <f t="shared" si="0"/>
        <v>174000</v>
      </c>
    </row>
    <row r="32" spans="1:7" ht="16.5" thickBot="1">
      <c r="A32" s="3"/>
      <c r="B32" s="231"/>
      <c r="C32" s="209"/>
      <c r="D32" s="15" t="s">
        <v>29</v>
      </c>
      <c r="E32" s="17">
        <f>ROUND(E31*0.8/10,0)*10</f>
        <v>116000</v>
      </c>
      <c r="F32" s="7"/>
      <c r="G32" s="10">
        <f t="shared" si="0"/>
        <v>139200</v>
      </c>
    </row>
    <row r="33" spans="1:7" ht="15.75">
      <c r="A33" s="215" t="s">
        <v>33</v>
      </c>
      <c r="B33" s="215"/>
      <c r="C33" s="215"/>
      <c r="D33" s="215"/>
      <c r="E33" s="215"/>
      <c r="F33" s="215"/>
      <c r="G33" s="10"/>
    </row>
    <row r="34" spans="1:7" ht="16.5" thickBot="1">
      <c r="A34" s="220" t="s">
        <v>34</v>
      </c>
      <c r="B34" s="220"/>
      <c r="C34" s="220"/>
      <c r="D34" s="220"/>
      <c r="E34" s="220"/>
      <c r="F34" s="220"/>
      <c r="G34" s="10"/>
    </row>
    <row r="35" spans="1:7" ht="30.75" thickBot="1">
      <c r="A35" s="3"/>
      <c r="B35" s="4" t="s">
        <v>3</v>
      </c>
      <c r="C35" s="5" t="s">
        <v>5</v>
      </c>
      <c r="D35" s="5" t="s">
        <v>4</v>
      </c>
      <c r="E35" s="6" t="s">
        <v>6</v>
      </c>
      <c r="F35" s="7"/>
      <c r="G35" s="10"/>
    </row>
    <row r="36" spans="1:7" ht="15.75">
      <c r="A36" s="3"/>
      <c r="B36" s="230" t="s">
        <v>8</v>
      </c>
      <c r="C36" s="223" t="s">
        <v>32</v>
      </c>
      <c r="D36" s="12" t="s">
        <v>22</v>
      </c>
      <c r="E36" s="16">
        <f>ROUND(E37*1.2/10,0)*10</f>
        <v>481680</v>
      </c>
      <c r="F36" s="7"/>
      <c r="G36" s="10">
        <f t="shared" si="0"/>
        <v>578016</v>
      </c>
    </row>
    <row r="37" spans="1:7" ht="16.5" thickBot="1">
      <c r="A37" s="3"/>
      <c r="B37" s="231"/>
      <c r="C37" s="209"/>
      <c r="D37" s="15" t="s">
        <v>23</v>
      </c>
      <c r="E37" s="17">
        <v>401400</v>
      </c>
      <c r="F37" s="7"/>
      <c r="G37" s="10">
        <f t="shared" si="0"/>
        <v>481680</v>
      </c>
    </row>
    <row r="38" spans="1:7" ht="15.75">
      <c r="A38" s="215" t="s">
        <v>36</v>
      </c>
      <c r="B38" s="215"/>
      <c r="C38" s="215"/>
      <c r="D38" s="215"/>
      <c r="E38" s="215"/>
      <c r="F38" s="215"/>
      <c r="G38" s="10"/>
    </row>
    <row r="39" spans="1:7" ht="16.5" thickBot="1">
      <c r="A39" s="220" t="s">
        <v>27</v>
      </c>
      <c r="B39" s="220"/>
      <c r="C39" s="220"/>
      <c r="D39" s="220"/>
      <c r="E39" s="220"/>
      <c r="F39" s="220"/>
      <c r="G39" s="10"/>
    </row>
    <row r="40" spans="1:7" ht="30.75" thickBot="1">
      <c r="A40" s="3"/>
      <c r="B40" s="4" t="s">
        <v>3</v>
      </c>
      <c r="C40" s="5" t="s">
        <v>5</v>
      </c>
      <c r="D40" s="5" t="s">
        <v>4</v>
      </c>
      <c r="E40" s="6" t="s">
        <v>6</v>
      </c>
      <c r="F40" s="7"/>
      <c r="G40" s="10"/>
    </row>
    <row r="41" spans="1:7" ht="15.75">
      <c r="A41" s="3"/>
      <c r="B41" s="230" t="s">
        <v>37</v>
      </c>
      <c r="C41" s="223" t="s">
        <v>38</v>
      </c>
      <c r="D41" s="12" t="s">
        <v>23</v>
      </c>
      <c r="E41" s="204">
        <v>112200</v>
      </c>
      <c r="F41" s="7"/>
      <c r="G41" s="214">
        <f t="shared" si="0"/>
        <v>134640</v>
      </c>
    </row>
    <row r="42" spans="1:7" ht="16.5" thickBot="1">
      <c r="A42" s="3"/>
      <c r="B42" s="231"/>
      <c r="C42" s="209"/>
      <c r="D42" s="15" t="s">
        <v>29</v>
      </c>
      <c r="E42" s="211"/>
      <c r="F42" s="7"/>
      <c r="G42" s="214"/>
    </row>
    <row r="43" spans="1:7" ht="15.75">
      <c r="A43" s="215" t="s">
        <v>41</v>
      </c>
      <c r="B43" s="215"/>
      <c r="C43" s="215"/>
      <c r="D43" s="215"/>
      <c r="E43" s="215"/>
      <c r="F43" s="215"/>
      <c r="G43" s="10"/>
    </row>
    <row r="44" spans="1:7" ht="16.5" thickBot="1">
      <c r="A44" s="220" t="s">
        <v>42</v>
      </c>
      <c r="B44" s="220"/>
      <c r="C44" s="220"/>
      <c r="D44" s="220"/>
      <c r="E44" s="220"/>
      <c r="F44" s="220"/>
      <c r="G44" s="10"/>
    </row>
    <row r="45" spans="1:7" ht="30.75" thickBot="1">
      <c r="A45" s="3"/>
      <c r="B45" s="4" t="s">
        <v>3</v>
      </c>
      <c r="C45" s="5" t="s">
        <v>5</v>
      </c>
      <c r="D45" s="5" t="s">
        <v>4</v>
      </c>
      <c r="E45" s="6" t="s">
        <v>6</v>
      </c>
      <c r="F45" s="7"/>
      <c r="G45" s="10"/>
    </row>
    <row r="46" spans="1:7" ht="15.75">
      <c r="A46" s="3"/>
      <c r="B46" s="230" t="s">
        <v>39</v>
      </c>
      <c r="C46" s="223" t="s">
        <v>40</v>
      </c>
      <c r="D46" s="12" t="s">
        <v>23</v>
      </c>
      <c r="E46" s="16">
        <v>104000</v>
      </c>
      <c r="F46" s="7"/>
      <c r="G46" s="10">
        <f t="shared" si="0"/>
        <v>124800</v>
      </c>
    </row>
    <row r="47" spans="1:7" ht="16.5" thickBot="1">
      <c r="A47" s="3"/>
      <c r="B47" s="231"/>
      <c r="C47" s="209"/>
      <c r="D47" s="15" t="s">
        <v>29</v>
      </c>
      <c r="E47" s="17">
        <f>ROUND(E46*0.8/10,0)*10</f>
        <v>83200</v>
      </c>
      <c r="F47" s="7"/>
      <c r="G47" s="10">
        <f t="shared" si="0"/>
        <v>99840</v>
      </c>
    </row>
    <row r="48" spans="1:7" ht="15.75">
      <c r="A48" s="213" t="s">
        <v>9</v>
      </c>
      <c r="B48" s="213"/>
      <c r="C48" s="213"/>
      <c r="D48" s="213"/>
      <c r="E48" s="213"/>
      <c r="F48" s="213"/>
      <c r="G48" s="10"/>
    </row>
    <row r="49" spans="1:7" ht="15.75">
      <c r="A49" s="212" t="s">
        <v>10</v>
      </c>
      <c r="B49" s="212"/>
      <c r="C49" s="212"/>
      <c r="D49" s="212"/>
      <c r="E49" s="212"/>
      <c r="F49" s="212"/>
      <c r="G49" s="10"/>
    </row>
    <row r="50" spans="1:7" ht="15.75">
      <c r="A50" s="215" t="s">
        <v>2</v>
      </c>
      <c r="B50" s="215"/>
      <c r="C50" s="215"/>
      <c r="D50" s="215"/>
      <c r="E50" s="215"/>
      <c r="F50" s="215"/>
      <c r="G50" s="10"/>
    </row>
    <row r="51" spans="1:7" ht="15.75">
      <c r="A51" s="220" t="s">
        <v>11</v>
      </c>
      <c r="B51" s="220"/>
      <c r="C51" s="220"/>
      <c r="D51" s="220"/>
      <c r="E51" s="220"/>
      <c r="F51" s="220"/>
      <c r="G51" s="10"/>
    </row>
    <row r="52" spans="1:7" ht="16.5" thickBot="1">
      <c r="A52" s="220" t="s">
        <v>43</v>
      </c>
      <c r="B52" s="220"/>
      <c r="C52" s="220"/>
      <c r="D52" s="220"/>
      <c r="E52" s="220"/>
      <c r="F52" s="220"/>
      <c r="G52" s="10"/>
    </row>
    <row r="53" spans="1:7" ht="30.75" thickBot="1">
      <c r="A53" s="3"/>
      <c r="B53" s="4" t="s">
        <v>3</v>
      </c>
      <c r="C53" s="5" t="s">
        <v>5</v>
      </c>
      <c r="D53" s="5" t="s">
        <v>4</v>
      </c>
      <c r="E53" s="6" t="s">
        <v>6</v>
      </c>
      <c r="F53" s="3"/>
      <c r="G53" s="10"/>
    </row>
    <row r="54" spans="1:7" ht="15.75">
      <c r="A54" s="3"/>
      <c r="B54" s="216" t="s">
        <v>8</v>
      </c>
      <c r="C54" s="219" t="s">
        <v>16</v>
      </c>
      <c r="D54" s="11">
        <v>1</v>
      </c>
      <c r="E54" s="18">
        <f>ROUND(E55*1.2/10,0)*10</f>
        <v>142440</v>
      </c>
      <c r="F54" s="7"/>
      <c r="G54" s="10">
        <f t="shared" si="0"/>
        <v>170928</v>
      </c>
    </row>
    <row r="55" spans="1:7" ht="15.75">
      <c r="A55" s="3"/>
      <c r="B55" s="217"/>
      <c r="C55" s="223"/>
      <c r="D55" s="12">
        <v>2</v>
      </c>
      <c r="E55" s="16">
        <v>118700</v>
      </c>
      <c r="F55" s="7"/>
      <c r="G55" s="10">
        <f t="shared" si="0"/>
        <v>142440</v>
      </c>
    </row>
    <row r="56" spans="1:7" ht="15.75">
      <c r="A56" s="3"/>
      <c r="B56" s="217"/>
      <c r="C56" s="208"/>
      <c r="D56" s="13">
        <v>3</v>
      </c>
      <c r="E56" s="19">
        <f>ROUND(E55*0.8/10,0)*10</f>
        <v>94960</v>
      </c>
      <c r="F56" s="7"/>
      <c r="G56" s="10">
        <f t="shared" si="0"/>
        <v>113952</v>
      </c>
    </row>
    <row r="57" spans="1:7" ht="15.75">
      <c r="A57" s="3"/>
      <c r="B57" s="217"/>
      <c r="C57" s="207" t="s">
        <v>17</v>
      </c>
      <c r="D57" s="12">
        <v>1</v>
      </c>
      <c r="E57" s="20">
        <f>ROUND(E58*1.2/10,0)*10</f>
        <v>161520</v>
      </c>
      <c r="F57" s="7"/>
      <c r="G57" s="10">
        <f t="shared" si="0"/>
        <v>193824</v>
      </c>
    </row>
    <row r="58" spans="1:7" ht="15.75">
      <c r="A58" s="3"/>
      <c r="B58" s="217"/>
      <c r="C58" s="223"/>
      <c r="D58" s="12">
        <v>2</v>
      </c>
      <c r="E58" s="16">
        <v>134600</v>
      </c>
      <c r="F58" s="7"/>
      <c r="G58" s="10">
        <f t="shared" si="0"/>
        <v>161520</v>
      </c>
    </row>
    <row r="59" spans="1:7" ht="15.75">
      <c r="A59" s="3"/>
      <c r="B59" s="217"/>
      <c r="C59" s="208"/>
      <c r="D59" s="13">
        <v>3</v>
      </c>
      <c r="E59" s="19">
        <f>ROUND(E58*0.8/10,0)*10</f>
        <v>107680</v>
      </c>
      <c r="F59" s="7"/>
      <c r="G59" s="10">
        <f t="shared" si="0"/>
        <v>129216</v>
      </c>
    </row>
    <row r="60" spans="1:7" ht="15.75">
      <c r="A60" s="3"/>
      <c r="B60" s="217"/>
      <c r="C60" s="207" t="s">
        <v>13</v>
      </c>
      <c r="D60" s="12">
        <v>1</v>
      </c>
      <c r="E60" s="20">
        <f>ROUND(E61*1.2/10,0)*10</f>
        <v>191040</v>
      </c>
      <c r="F60" s="7"/>
      <c r="G60" s="10">
        <f t="shared" si="0"/>
        <v>229248</v>
      </c>
    </row>
    <row r="61" spans="1:7" ht="15.75">
      <c r="A61" s="3"/>
      <c r="B61" s="217"/>
      <c r="C61" s="223"/>
      <c r="D61" s="12">
        <v>2</v>
      </c>
      <c r="E61" s="16">
        <v>159200</v>
      </c>
      <c r="F61" s="7"/>
      <c r="G61" s="10">
        <f t="shared" si="0"/>
        <v>191040</v>
      </c>
    </row>
    <row r="62" spans="1:7" ht="16.5" thickBot="1">
      <c r="A62" s="3"/>
      <c r="B62" s="218"/>
      <c r="C62" s="209"/>
      <c r="D62" s="15">
        <v>3</v>
      </c>
      <c r="E62" s="21">
        <f>ROUND(E61*0.8/10,0)*10</f>
        <v>127360</v>
      </c>
      <c r="F62" s="7"/>
      <c r="G62" s="10">
        <f t="shared" si="0"/>
        <v>152832</v>
      </c>
    </row>
    <row r="63" spans="1:7" ht="16.5" thickBot="1">
      <c r="A63" s="220" t="s">
        <v>44</v>
      </c>
      <c r="B63" s="220"/>
      <c r="C63" s="220"/>
      <c r="D63" s="220"/>
      <c r="E63" s="220"/>
      <c r="F63" s="220"/>
      <c r="G63" s="10"/>
    </row>
    <row r="64" spans="1:7" ht="30.75" thickBot="1">
      <c r="A64" s="3"/>
      <c r="B64" s="4" t="s">
        <v>3</v>
      </c>
      <c r="C64" s="5" t="s">
        <v>5</v>
      </c>
      <c r="D64" s="5" t="s">
        <v>4</v>
      </c>
      <c r="E64" s="6" t="s">
        <v>6</v>
      </c>
      <c r="F64" s="3"/>
      <c r="G64" s="10"/>
    </row>
    <row r="65" spans="1:7" ht="15.75">
      <c r="A65" s="3"/>
      <c r="B65" s="216" t="s">
        <v>8</v>
      </c>
      <c r="C65" s="219" t="s">
        <v>16</v>
      </c>
      <c r="D65" s="11">
        <v>1</v>
      </c>
      <c r="E65" s="18">
        <f>ROUND(E66*1.2/10,0)*10</f>
        <v>114960</v>
      </c>
      <c r="F65" s="7"/>
      <c r="G65" s="10">
        <f t="shared" si="0"/>
        <v>137952</v>
      </c>
    </row>
    <row r="66" spans="1:7" ht="15.75">
      <c r="A66" s="3"/>
      <c r="B66" s="217"/>
      <c r="C66" s="223"/>
      <c r="D66" s="12">
        <v>2</v>
      </c>
      <c r="E66" s="16">
        <v>95800</v>
      </c>
      <c r="F66" s="7"/>
      <c r="G66" s="10">
        <f t="shared" si="0"/>
        <v>114960</v>
      </c>
    </row>
    <row r="67" spans="1:7" ht="15.75">
      <c r="A67" s="3"/>
      <c r="B67" s="217"/>
      <c r="C67" s="208"/>
      <c r="D67" s="13">
        <v>3</v>
      </c>
      <c r="E67" s="19">
        <f>ROUND(E66*0.8/10,0)*10</f>
        <v>76640</v>
      </c>
      <c r="F67" s="7"/>
      <c r="G67" s="10">
        <f t="shared" si="0"/>
        <v>91968</v>
      </c>
    </row>
    <row r="68" spans="1:7" ht="15.75">
      <c r="A68" s="3"/>
      <c r="B68" s="217"/>
      <c r="C68" s="207" t="s">
        <v>20</v>
      </c>
      <c r="D68" s="12">
        <v>1</v>
      </c>
      <c r="E68" s="20">
        <f>ROUND(E69*1.2/10,0)*10</f>
        <v>129360</v>
      </c>
      <c r="F68" s="7"/>
      <c r="G68" s="10">
        <f t="shared" si="0"/>
        <v>155232</v>
      </c>
    </row>
    <row r="69" spans="1:7" ht="15.75">
      <c r="A69" s="3"/>
      <c r="B69" s="217"/>
      <c r="C69" s="223"/>
      <c r="D69" s="12">
        <v>2</v>
      </c>
      <c r="E69" s="16">
        <v>107800</v>
      </c>
      <c r="F69" s="7"/>
      <c r="G69" s="10">
        <f t="shared" si="0"/>
        <v>129360</v>
      </c>
    </row>
    <row r="70" spans="1:7" ht="16.5" thickBot="1">
      <c r="A70" s="3"/>
      <c r="B70" s="218"/>
      <c r="C70" s="209"/>
      <c r="D70" s="15">
        <v>3</v>
      </c>
      <c r="E70" s="17">
        <f>ROUND(E69*0.8/10,0)*10</f>
        <v>86240</v>
      </c>
      <c r="F70" s="7"/>
      <c r="G70" s="10">
        <f t="shared" si="0"/>
        <v>103488</v>
      </c>
    </row>
    <row r="71" spans="1:7" ht="15.75">
      <c r="A71" s="220" t="s">
        <v>45</v>
      </c>
      <c r="B71" s="220"/>
      <c r="C71" s="220"/>
      <c r="D71" s="220"/>
      <c r="E71" s="220"/>
      <c r="F71" s="220"/>
      <c r="G71" s="10"/>
    </row>
    <row r="72" spans="1:7" ht="16.5" thickBot="1">
      <c r="A72" s="220" t="s">
        <v>46</v>
      </c>
      <c r="B72" s="220"/>
      <c r="C72" s="220"/>
      <c r="D72" s="220"/>
      <c r="E72" s="220"/>
      <c r="F72" s="220"/>
      <c r="G72" s="10"/>
    </row>
    <row r="73" spans="1:7" ht="30.75" thickBot="1">
      <c r="A73" s="2"/>
      <c r="B73" s="4" t="s">
        <v>3</v>
      </c>
      <c r="C73" s="5" t="s">
        <v>5</v>
      </c>
      <c r="D73" s="5" t="s">
        <v>4</v>
      </c>
      <c r="E73" s="6" t="s">
        <v>6</v>
      </c>
      <c r="F73" s="2"/>
      <c r="G73" s="10"/>
    </row>
    <row r="74" spans="1:7" ht="15.75">
      <c r="A74" s="2"/>
      <c r="B74" s="225">
        <v>1.5</v>
      </c>
      <c r="C74" s="207" t="s">
        <v>47</v>
      </c>
      <c r="D74" s="14" t="s">
        <v>22</v>
      </c>
      <c r="E74" s="20">
        <f>ROUND(E75*1.2/10,0)*10</f>
        <v>439200</v>
      </c>
      <c r="F74" s="2"/>
      <c r="G74" s="10">
        <f t="shared" si="0"/>
        <v>527040</v>
      </c>
    </row>
    <row r="75" spans="1:7" ht="16.5" thickBot="1">
      <c r="A75" s="2"/>
      <c r="B75" s="226"/>
      <c r="C75" s="209"/>
      <c r="D75" s="15" t="s">
        <v>23</v>
      </c>
      <c r="E75" s="17">
        <v>366000</v>
      </c>
      <c r="F75" s="2"/>
      <c r="G75" s="10">
        <f t="shared" si="0"/>
        <v>439200</v>
      </c>
    </row>
    <row r="76" spans="1:7" ht="16.5" thickBot="1">
      <c r="A76" s="220" t="s">
        <v>48</v>
      </c>
      <c r="B76" s="220"/>
      <c r="C76" s="220"/>
      <c r="D76" s="220"/>
      <c r="E76" s="220"/>
      <c r="F76" s="220"/>
      <c r="G76" s="10"/>
    </row>
    <row r="77" spans="1:7" ht="30.75" thickBot="1">
      <c r="A77" s="3"/>
      <c r="B77" s="4" t="s">
        <v>3</v>
      </c>
      <c r="C77" s="5" t="s">
        <v>5</v>
      </c>
      <c r="D77" s="5" t="s">
        <v>4</v>
      </c>
      <c r="E77" s="6" t="s">
        <v>6</v>
      </c>
      <c r="F77" s="3"/>
      <c r="G77" s="10"/>
    </row>
    <row r="78" spans="1:7" ht="15" customHeight="1">
      <c r="A78" s="3"/>
      <c r="B78" s="224" t="s">
        <v>12</v>
      </c>
      <c r="C78" s="219" t="s">
        <v>21</v>
      </c>
      <c r="D78" s="12" t="s">
        <v>22</v>
      </c>
      <c r="E78" s="16">
        <f>ROUND(E79*1.2/10,0)*10</f>
        <v>362880</v>
      </c>
      <c r="F78" s="7"/>
      <c r="G78" s="10">
        <f t="shared" si="0"/>
        <v>435456</v>
      </c>
    </row>
    <row r="79" spans="1:7" ht="15.75">
      <c r="A79" s="3"/>
      <c r="B79" s="225"/>
      <c r="C79" s="208"/>
      <c r="D79" s="12" t="s">
        <v>23</v>
      </c>
      <c r="E79" s="19">
        <v>302400</v>
      </c>
      <c r="F79" s="7"/>
      <c r="G79" s="10">
        <f t="shared" si="0"/>
        <v>362880</v>
      </c>
    </row>
    <row r="80" spans="1:7" ht="15.75">
      <c r="A80" s="3"/>
      <c r="B80" s="225"/>
      <c r="C80" s="207" t="s">
        <v>13</v>
      </c>
      <c r="D80" s="14" t="s">
        <v>22</v>
      </c>
      <c r="E80" s="20">
        <f>ROUND(E81*1.2/10,0)*10</f>
        <v>402000</v>
      </c>
      <c r="F80" s="7"/>
      <c r="G80" s="10">
        <f t="shared" si="0"/>
        <v>482400</v>
      </c>
    </row>
    <row r="81" spans="1:7" ht="16.5" thickBot="1">
      <c r="A81" s="3"/>
      <c r="B81" s="226"/>
      <c r="C81" s="209"/>
      <c r="D81" s="15" t="s">
        <v>23</v>
      </c>
      <c r="E81" s="17">
        <v>335000</v>
      </c>
      <c r="F81" s="7"/>
      <c r="G81" s="10">
        <f t="shared" si="0"/>
        <v>402000</v>
      </c>
    </row>
    <row r="82" spans="1:7" ht="16.5" thickBot="1">
      <c r="A82" s="220" t="s">
        <v>49</v>
      </c>
      <c r="B82" s="220"/>
      <c r="C82" s="220"/>
      <c r="D82" s="220"/>
      <c r="E82" s="220"/>
      <c r="F82" s="220"/>
      <c r="G82" s="10">
        <f t="shared" si="0"/>
        <v>0</v>
      </c>
    </row>
    <row r="83" spans="1:7" ht="30.75" thickBot="1">
      <c r="A83" s="3"/>
      <c r="B83" s="4" t="s">
        <v>3</v>
      </c>
      <c r="C83" s="5" t="s">
        <v>5</v>
      </c>
      <c r="D83" s="5" t="s">
        <v>4</v>
      </c>
      <c r="E83" s="6" t="s">
        <v>6</v>
      </c>
      <c r="F83" s="7"/>
      <c r="G83" s="10" t="e">
        <f t="shared" si="0"/>
        <v>#VALUE!</v>
      </c>
    </row>
    <row r="84" spans="1:7" ht="15.75">
      <c r="A84" s="3"/>
      <c r="B84" s="224" t="s">
        <v>12</v>
      </c>
      <c r="C84" s="219" t="s">
        <v>21</v>
      </c>
      <c r="D84" s="12" t="s">
        <v>22</v>
      </c>
      <c r="E84" s="16">
        <f>ROUND(E85*1.2/10,0)*10</f>
        <v>200640</v>
      </c>
      <c r="F84" s="7"/>
      <c r="G84" s="10">
        <f t="shared" si="0"/>
        <v>240768</v>
      </c>
    </row>
    <row r="85" spans="1:7" ht="15.75">
      <c r="A85" s="3"/>
      <c r="B85" s="225"/>
      <c r="C85" s="208"/>
      <c r="D85" s="12" t="s">
        <v>23</v>
      </c>
      <c r="E85" s="19">
        <v>167200</v>
      </c>
      <c r="F85" s="7"/>
      <c r="G85" s="10">
        <f t="shared" si="0"/>
        <v>200640</v>
      </c>
    </row>
    <row r="86" spans="1:7" ht="15.75">
      <c r="A86" s="3"/>
      <c r="B86" s="225"/>
      <c r="C86" s="207" t="s">
        <v>13</v>
      </c>
      <c r="D86" s="14" t="s">
        <v>22</v>
      </c>
      <c r="E86" s="20">
        <f>ROUND(E87*1.2/10,0)*10</f>
        <v>212520</v>
      </c>
      <c r="F86" s="7"/>
      <c r="G86" s="10">
        <f t="shared" si="0"/>
        <v>255024</v>
      </c>
    </row>
    <row r="87" spans="1:7" ht="16.5" thickBot="1">
      <c r="A87" s="3"/>
      <c r="B87" s="226"/>
      <c r="C87" s="209"/>
      <c r="D87" s="15" t="s">
        <v>23</v>
      </c>
      <c r="E87" s="17">
        <v>177100</v>
      </c>
      <c r="F87" s="7"/>
      <c r="G87" s="10">
        <f t="shared" si="0"/>
        <v>212520</v>
      </c>
    </row>
    <row r="88" spans="1:7" ht="15.75">
      <c r="A88" s="220" t="s">
        <v>50</v>
      </c>
      <c r="B88" s="220"/>
      <c r="C88" s="220"/>
      <c r="D88" s="220"/>
      <c r="E88" s="220"/>
      <c r="F88" s="220"/>
      <c r="G88" s="10"/>
    </row>
    <row r="89" spans="1:7" ht="16.5" thickBot="1">
      <c r="A89" s="220" t="s">
        <v>51</v>
      </c>
      <c r="B89" s="220"/>
      <c r="C89" s="220"/>
      <c r="D89" s="220"/>
      <c r="E89" s="220"/>
      <c r="F89" s="220"/>
      <c r="G89" s="10"/>
    </row>
    <row r="90" spans="1:7" ht="30.75" thickBot="1">
      <c r="A90" s="3"/>
      <c r="B90" s="4" t="s">
        <v>3</v>
      </c>
      <c r="C90" s="5" t="s">
        <v>5</v>
      </c>
      <c r="D90" s="5" t="s">
        <v>4</v>
      </c>
      <c r="E90" s="6" t="s">
        <v>6</v>
      </c>
      <c r="F90" s="3"/>
      <c r="G90" s="10"/>
    </row>
    <row r="91" spans="1:7" ht="15.75">
      <c r="A91" s="3"/>
      <c r="B91" s="224" t="s">
        <v>52</v>
      </c>
      <c r="C91" s="219" t="s">
        <v>21</v>
      </c>
      <c r="D91" s="12" t="s">
        <v>22</v>
      </c>
      <c r="E91" s="16">
        <f>ROUND(E92*1.2/10,0)*10</f>
        <v>214680</v>
      </c>
      <c r="F91" s="7"/>
      <c r="G91" s="10">
        <f t="shared" si="0"/>
        <v>257616</v>
      </c>
    </row>
    <row r="92" spans="1:7" ht="15.75">
      <c r="A92" s="3"/>
      <c r="B92" s="225"/>
      <c r="C92" s="208"/>
      <c r="D92" s="12" t="s">
        <v>23</v>
      </c>
      <c r="E92" s="19">
        <v>178900</v>
      </c>
      <c r="F92" s="7"/>
      <c r="G92" s="10">
        <f t="shared" si="0"/>
        <v>214680</v>
      </c>
    </row>
    <row r="93" spans="1:7" ht="15.75">
      <c r="A93" s="3"/>
      <c r="B93" s="225"/>
      <c r="C93" s="207" t="s">
        <v>13</v>
      </c>
      <c r="D93" s="14" t="s">
        <v>22</v>
      </c>
      <c r="E93" s="20">
        <f>ROUND(E94*1.2/10,0)*10</f>
        <v>232080</v>
      </c>
      <c r="F93" s="7"/>
      <c r="G93" s="10">
        <f t="shared" si="0"/>
        <v>278496</v>
      </c>
    </row>
    <row r="94" spans="1:7" ht="16.5" thickBot="1">
      <c r="A94" s="3"/>
      <c r="B94" s="226"/>
      <c r="C94" s="209"/>
      <c r="D94" s="15" t="s">
        <v>23</v>
      </c>
      <c r="E94" s="17">
        <v>193400</v>
      </c>
      <c r="F94" s="7"/>
      <c r="G94" s="10">
        <f t="shared" si="0"/>
        <v>232080</v>
      </c>
    </row>
    <row r="95" spans="1:7" ht="15.75">
      <c r="A95" s="215" t="s">
        <v>53</v>
      </c>
      <c r="B95" s="215"/>
      <c r="C95" s="215"/>
      <c r="D95" s="215"/>
      <c r="E95" s="215"/>
      <c r="F95" s="215"/>
      <c r="G95" s="10"/>
    </row>
    <row r="96" spans="1:7" ht="16.5" thickBot="1">
      <c r="A96" s="220" t="s">
        <v>54</v>
      </c>
      <c r="B96" s="220"/>
      <c r="C96" s="220"/>
      <c r="D96" s="220"/>
      <c r="E96" s="220"/>
      <c r="F96" s="220"/>
      <c r="G96" s="10"/>
    </row>
    <row r="97" spans="1:7" ht="30.75" thickBot="1">
      <c r="A97" s="3"/>
      <c r="B97" s="4" t="s">
        <v>3</v>
      </c>
      <c r="C97" s="5" t="s">
        <v>5</v>
      </c>
      <c r="D97" s="5" t="s">
        <v>4</v>
      </c>
      <c r="E97" s="6" t="s">
        <v>6</v>
      </c>
      <c r="F97" s="3"/>
      <c r="G97" s="10"/>
    </row>
    <row r="98" spans="1:7" ht="15.75">
      <c r="A98" s="3"/>
      <c r="B98" s="224" t="s">
        <v>56</v>
      </c>
      <c r="C98" s="219" t="s">
        <v>38</v>
      </c>
      <c r="D98" s="11" t="s">
        <v>22</v>
      </c>
      <c r="E98" s="221">
        <v>101400</v>
      </c>
      <c r="F98" s="7"/>
      <c r="G98" s="214">
        <f t="shared" si="0"/>
        <v>121680</v>
      </c>
    </row>
    <row r="99" spans="1:7" ht="15.75">
      <c r="A99" s="3"/>
      <c r="B99" s="225"/>
      <c r="C99" s="208"/>
      <c r="D99" s="12" t="s">
        <v>23</v>
      </c>
      <c r="E99" s="232"/>
      <c r="F99" s="7"/>
      <c r="G99" s="214"/>
    </row>
    <row r="100" spans="1:7" ht="16.5" thickBot="1">
      <c r="A100" s="3"/>
      <c r="B100" s="226"/>
      <c r="C100" s="22" t="s">
        <v>55</v>
      </c>
      <c r="D100" s="22" t="s">
        <v>29</v>
      </c>
      <c r="E100" s="23">
        <v>91200</v>
      </c>
      <c r="F100" s="7"/>
      <c r="G100" s="10">
        <f t="shared" si="0"/>
        <v>109440</v>
      </c>
    </row>
    <row r="101" spans="1:7" ht="15.75">
      <c r="A101" s="215" t="s">
        <v>57</v>
      </c>
      <c r="B101" s="215"/>
      <c r="C101" s="215"/>
      <c r="D101" s="215"/>
      <c r="E101" s="215"/>
      <c r="F101" s="215"/>
      <c r="G101" s="10"/>
    </row>
    <row r="102" spans="1:7" ht="15.75">
      <c r="A102" s="220" t="s">
        <v>42</v>
      </c>
      <c r="B102" s="220"/>
      <c r="C102" s="220"/>
      <c r="D102" s="220"/>
      <c r="E102" s="220"/>
      <c r="F102" s="220"/>
      <c r="G102" s="10"/>
    </row>
    <row r="103" spans="1:7" ht="16.5" thickBot="1">
      <c r="A103" s="220" t="s">
        <v>43</v>
      </c>
      <c r="B103" s="220"/>
      <c r="C103" s="220"/>
      <c r="D103" s="220"/>
      <c r="E103" s="220"/>
      <c r="F103" s="220"/>
      <c r="G103" s="10"/>
    </row>
    <row r="104" spans="1:7" ht="30.75" thickBot="1">
      <c r="A104" s="3"/>
      <c r="B104" s="4" t="s">
        <v>3</v>
      </c>
      <c r="C104" s="5" t="s">
        <v>5</v>
      </c>
      <c r="D104" s="5" t="s">
        <v>4</v>
      </c>
      <c r="E104" s="6" t="s">
        <v>6</v>
      </c>
      <c r="F104" s="3"/>
      <c r="G104" s="10"/>
    </row>
    <row r="105" spans="1:7" ht="24" customHeight="1" thickBot="1">
      <c r="A105" s="3"/>
      <c r="B105" s="24" t="s">
        <v>59</v>
      </c>
      <c r="C105" s="25" t="s">
        <v>58</v>
      </c>
      <c r="D105" s="25" t="s">
        <v>23</v>
      </c>
      <c r="E105" s="26">
        <v>112900</v>
      </c>
      <c r="F105" s="7"/>
      <c r="G105" s="10">
        <f t="shared" si="0"/>
        <v>135480</v>
      </c>
    </row>
    <row r="106" spans="1:7" ht="16.5" thickBot="1">
      <c r="A106" s="220" t="s">
        <v>44</v>
      </c>
      <c r="B106" s="220"/>
      <c r="C106" s="220"/>
      <c r="D106" s="220"/>
      <c r="E106" s="220"/>
      <c r="F106" s="220"/>
      <c r="G106" s="10"/>
    </row>
    <row r="107" spans="1:7" ht="30.75" thickBot="1">
      <c r="A107" s="3"/>
      <c r="B107" s="4" t="s">
        <v>3</v>
      </c>
      <c r="C107" s="5" t="s">
        <v>5</v>
      </c>
      <c r="D107" s="5" t="s">
        <v>4</v>
      </c>
      <c r="E107" s="6" t="s">
        <v>6</v>
      </c>
      <c r="F107" s="3"/>
      <c r="G107" s="10"/>
    </row>
    <row r="108" spans="1:7" ht="24" customHeight="1" thickBot="1">
      <c r="A108" s="3"/>
      <c r="B108" s="24" t="s">
        <v>59</v>
      </c>
      <c r="C108" s="25" t="s">
        <v>58</v>
      </c>
      <c r="D108" s="25" t="s">
        <v>23</v>
      </c>
      <c r="E108" s="26">
        <v>94400</v>
      </c>
      <c r="F108" s="7"/>
      <c r="G108" s="10">
        <f t="shared" si="0"/>
        <v>113280</v>
      </c>
    </row>
    <row r="109" spans="1:7" ht="15.75">
      <c r="A109" s="213" t="s">
        <v>69</v>
      </c>
      <c r="B109" s="213"/>
      <c r="C109" s="213"/>
      <c r="D109" s="213"/>
      <c r="E109" s="213"/>
      <c r="F109" s="213"/>
      <c r="G109" s="10"/>
    </row>
    <row r="110" spans="1:7" ht="15.75">
      <c r="A110" s="212" t="s">
        <v>10</v>
      </c>
      <c r="B110" s="212"/>
      <c r="C110" s="212"/>
      <c r="D110" s="212"/>
      <c r="E110" s="212"/>
      <c r="F110" s="212"/>
      <c r="G110" s="10"/>
    </row>
    <row r="111" spans="1:7" ht="15.75">
      <c r="A111" s="215" t="s">
        <v>2</v>
      </c>
      <c r="B111" s="215"/>
      <c r="C111" s="215"/>
      <c r="D111" s="215"/>
      <c r="E111" s="215"/>
      <c r="F111" s="215"/>
      <c r="G111" s="10"/>
    </row>
    <row r="112" spans="1:7" ht="15.75">
      <c r="A112" s="220" t="s">
        <v>11</v>
      </c>
      <c r="B112" s="220"/>
      <c r="C112" s="220"/>
      <c r="D112" s="220"/>
      <c r="E112" s="220"/>
      <c r="F112" s="220"/>
      <c r="G112" s="10"/>
    </row>
    <row r="113" spans="1:7" ht="16.5" thickBot="1">
      <c r="A113" s="220" t="s">
        <v>60</v>
      </c>
      <c r="B113" s="220"/>
      <c r="C113" s="220"/>
      <c r="D113" s="220"/>
      <c r="E113" s="220"/>
      <c r="F113" s="220"/>
      <c r="G113" s="10"/>
    </row>
    <row r="114" spans="1:7" ht="30.75" thickBot="1">
      <c r="A114" s="3"/>
      <c r="B114" s="4" t="s">
        <v>3</v>
      </c>
      <c r="C114" s="5" t="s">
        <v>5</v>
      </c>
      <c r="D114" s="5" t="s">
        <v>4</v>
      </c>
      <c r="E114" s="6" t="s">
        <v>6</v>
      </c>
      <c r="F114" s="3"/>
      <c r="G114" s="10"/>
    </row>
    <row r="115" spans="1:7" ht="15.75">
      <c r="A115" s="3"/>
      <c r="B115" s="216" t="s">
        <v>61</v>
      </c>
      <c r="C115" s="219" t="s">
        <v>16</v>
      </c>
      <c r="D115" s="11">
        <v>1</v>
      </c>
      <c r="E115" s="18">
        <f>ROUND(E116*1.2/10,0)*10</f>
        <v>363120</v>
      </c>
      <c r="F115" s="7"/>
      <c r="G115" s="10">
        <f t="shared" si="0"/>
        <v>435744</v>
      </c>
    </row>
    <row r="116" spans="1:7" ht="15.75">
      <c r="A116" s="3"/>
      <c r="B116" s="217"/>
      <c r="C116" s="223"/>
      <c r="D116" s="12">
        <v>2</v>
      </c>
      <c r="E116" s="16">
        <v>302600</v>
      </c>
      <c r="F116" s="7"/>
      <c r="G116" s="10">
        <f t="shared" si="0"/>
        <v>363120</v>
      </c>
    </row>
    <row r="117" spans="1:7" ht="15.75">
      <c r="A117" s="3"/>
      <c r="B117" s="217"/>
      <c r="C117" s="208"/>
      <c r="D117" s="13">
        <v>3</v>
      </c>
      <c r="E117" s="19">
        <f>ROUND(E116*0.8/10,0)*10</f>
        <v>242080</v>
      </c>
      <c r="F117" s="7"/>
      <c r="G117" s="10">
        <f t="shared" si="0"/>
        <v>290496</v>
      </c>
    </row>
    <row r="118" spans="1:7" ht="15.75">
      <c r="A118" s="3"/>
      <c r="B118" s="217"/>
      <c r="C118" s="207" t="s">
        <v>17</v>
      </c>
      <c r="D118" s="12">
        <v>1</v>
      </c>
      <c r="E118" s="20">
        <f>ROUND(E119*1.2/10,0)*10</f>
        <v>544080</v>
      </c>
      <c r="F118" s="7"/>
      <c r="G118" s="10">
        <f t="shared" si="0"/>
        <v>652896</v>
      </c>
    </row>
    <row r="119" spans="1:7" ht="15.75">
      <c r="A119" s="3"/>
      <c r="B119" s="217"/>
      <c r="C119" s="223"/>
      <c r="D119" s="12">
        <v>2</v>
      </c>
      <c r="E119" s="16">
        <v>453400</v>
      </c>
      <c r="F119" s="7"/>
      <c r="G119" s="10">
        <f t="shared" si="0"/>
        <v>544080</v>
      </c>
    </row>
    <row r="120" spans="1:7" ht="15.75">
      <c r="A120" s="3"/>
      <c r="B120" s="217"/>
      <c r="C120" s="208"/>
      <c r="D120" s="13">
        <v>3</v>
      </c>
      <c r="E120" s="19">
        <f>ROUND(E119*0.8/10,0)*10</f>
        <v>362720</v>
      </c>
      <c r="F120" s="7"/>
      <c r="G120" s="10">
        <f t="shared" si="0"/>
        <v>435264</v>
      </c>
    </row>
    <row r="121" spans="1:7" ht="15.75">
      <c r="A121" s="3"/>
      <c r="B121" s="217"/>
      <c r="C121" s="207" t="s">
        <v>62</v>
      </c>
      <c r="D121" s="12">
        <v>1</v>
      </c>
      <c r="E121" s="20">
        <f>ROUND(E122*1.2/10,0)*10</f>
        <v>819480</v>
      </c>
      <c r="F121" s="7"/>
      <c r="G121" s="10">
        <f t="shared" si="0"/>
        <v>983376</v>
      </c>
    </row>
    <row r="122" spans="1:7" ht="15.75">
      <c r="A122" s="3"/>
      <c r="B122" s="217"/>
      <c r="C122" s="223"/>
      <c r="D122" s="12">
        <v>2</v>
      </c>
      <c r="E122" s="16">
        <v>682900</v>
      </c>
      <c r="F122" s="7"/>
      <c r="G122" s="10">
        <f t="shared" si="0"/>
        <v>819480</v>
      </c>
    </row>
    <row r="123" spans="1:7" ht="15.75">
      <c r="A123" s="3"/>
      <c r="B123" s="217"/>
      <c r="C123" s="208"/>
      <c r="D123" s="13">
        <v>3</v>
      </c>
      <c r="E123" s="19">
        <f>ROUND(E122*0.8/10,0)*10</f>
        <v>546320</v>
      </c>
      <c r="F123" s="7"/>
      <c r="G123" s="10">
        <f t="shared" si="0"/>
        <v>655584</v>
      </c>
    </row>
    <row r="124" spans="1:7" ht="15.75">
      <c r="A124" s="3"/>
      <c r="B124" s="217"/>
      <c r="C124" s="207" t="s">
        <v>63</v>
      </c>
      <c r="D124" s="12">
        <v>1</v>
      </c>
      <c r="E124" s="20">
        <f>ROUND(E125*1.2/10,0)*10</f>
        <v>882720</v>
      </c>
      <c r="F124" s="7"/>
      <c r="G124" s="10">
        <f t="shared" si="0"/>
        <v>1059264</v>
      </c>
    </row>
    <row r="125" spans="1:7" ht="15.75">
      <c r="A125" s="3"/>
      <c r="B125" s="217"/>
      <c r="C125" s="223"/>
      <c r="D125" s="12">
        <v>2</v>
      </c>
      <c r="E125" s="16">
        <v>735600</v>
      </c>
      <c r="F125" s="7"/>
      <c r="G125" s="10">
        <f t="shared" si="0"/>
        <v>882720</v>
      </c>
    </row>
    <row r="126" spans="1:7" ht="16.5" thickBot="1">
      <c r="A126" s="3"/>
      <c r="B126" s="218"/>
      <c r="C126" s="209"/>
      <c r="D126" s="15">
        <v>3</v>
      </c>
      <c r="E126" s="21">
        <f>ROUND(E125*0.8/10,0)*10</f>
        <v>588480</v>
      </c>
      <c r="F126" s="7"/>
      <c r="G126" s="10">
        <f t="shared" si="0"/>
        <v>706176</v>
      </c>
    </row>
    <row r="127" spans="1:7" ht="15.75">
      <c r="A127" s="215" t="s">
        <v>64</v>
      </c>
      <c r="B127" s="215"/>
      <c r="C127" s="215"/>
      <c r="D127" s="215"/>
      <c r="E127" s="215"/>
      <c r="F127" s="215"/>
      <c r="G127" s="10"/>
    </row>
    <row r="128" spans="1:7" ht="16.5" thickBot="1">
      <c r="A128" s="220" t="s">
        <v>67</v>
      </c>
      <c r="B128" s="220"/>
      <c r="C128" s="220"/>
      <c r="D128" s="220"/>
      <c r="E128" s="220"/>
      <c r="F128" s="220"/>
      <c r="G128" s="10"/>
    </row>
    <row r="129" spans="1:7" ht="30.75" thickBot="1">
      <c r="A129" s="3"/>
      <c r="B129" s="4" t="s">
        <v>3</v>
      </c>
      <c r="C129" s="5" t="s">
        <v>5</v>
      </c>
      <c r="D129" s="5" t="s">
        <v>4</v>
      </c>
      <c r="E129" s="6" t="s">
        <v>6</v>
      </c>
      <c r="F129" s="3"/>
      <c r="G129" s="10"/>
    </row>
    <row r="130" spans="1:7" ht="15.75">
      <c r="A130" s="3"/>
      <c r="B130" s="224" t="s">
        <v>65</v>
      </c>
      <c r="C130" s="219" t="s">
        <v>66</v>
      </c>
      <c r="D130" s="12" t="s">
        <v>22</v>
      </c>
      <c r="E130" s="16">
        <f>ROUND(E131*1.2/10,0)*10</f>
        <v>1417920</v>
      </c>
      <c r="F130" s="7"/>
      <c r="G130" s="10">
        <f t="shared" si="0"/>
        <v>1701504</v>
      </c>
    </row>
    <row r="131" spans="1:7" ht="15.75">
      <c r="A131" s="3"/>
      <c r="B131" s="225"/>
      <c r="C131" s="208"/>
      <c r="D131" s="12" t="s">
        <v>23</v>
      </c>
      <c r="E131" s="19">
        <v>1181600</v>
      </c>
      <c r="F131" s="7"/>
      <c r="G131" s="10">
        <f t="shared" si="0"/>
        <v>1417920</v>
      </c>
    </row>
    <row r="132" spans="1:7" ht="15.75">
      <c r="A132" s="3"/>
      <c r="B132" s="225"/>
      <c r="C132" s="207" t="s">
        <v>63</v>
      </c>
      <c r="D132" s="14" t="s">
        <v>22</v>
      </c>
      <c r="E132" s="20">
        <f>ROUND(E133*1.2/10,0)*10</f>
        <v>1536000</v>
      </c>
      <c r="F132" s="7"/>
      <c r="G132" s="10">
        <f t="shared" si="0"/>
        <v>1843200</v>
      </c>
    </row>
    <row r="133" spans="1:7" ht="16.5" thickBot="1">
      <c r="A133" s="3"/>
      <c r="B133" s="226"/>
      <c r="C133" s="209"/>
      <c r="D133" s="15" t="s">
        <v>23</v>
      </c>
      <c r="E133" s="17">
        <v>1280000</v>
      </c>
      <c r="F133" s="7"/>
      <c r="G133" s="10">
        <f t="shared" si="0"/>
        <v>1536000</v>
      </c>
    </row>
    <row r="134" spans="1:7" ht="15.75">
      <c r="A134" s="215" t="s">
        <v>68</v>
      </c>
      <c r="B134" s="215"/>
      <c r="C134" s="215"/>
      <c r="D134" s="215"/>
      <c r="E134" s="215"/>
      <c r="F134" s="215"/>
      <c r="G134" s="10"/>
    </row>
    <row r="135" spans="1:7" ht="15.75">
      <c r="A135" s="220" t="s">
        <v>42</v>
      </c>
      <c r="B135" s="220"/>
      <c r="C135" s="220"/>
      <c r="D135" s="220"/>
      <c r="E135" s="220"/>
      <c r="F135" s="220"/>
      <c r="G135" s="10"/>
    </row>
    <row r="136" spans="1:7" ht="16.5" thickBot="1">
      <c r="A136" s="220" t="s">
        <v>60</v>
      </c>
      <c r="B136" s="220"/>
      <c r="C136" s="220"/>
      <c r="D136" s="220"/>
      <c r="E136" s="220"/>
      <c r="F136" s="220"/>
      <c r="G136" s="10"/>
    </row>
    <row r="137" spans="1:7" ht="30.75" thickBot="1">
      <c r="A137" s="3"/>
      <c r="B137" s="4" t="s">
        <v>3</v>
      </c>
      <c r="C137" s="5" t="s">
        <v>5</v>
      </c>
      <c r="D137" s="5" t="s">
        <v>4</v>
      </c>
      <c r="E137" s="6" t="s">
        <v>6</v>
      </c>
      <c r="F137" s="3"/>
      <c r="G137" s="10"/>
    </row>
    <row r="138" spans="1:7" ht="16.5" thickBot="1">
      <c r="A138" s="3"/>
      <c r="B138" s="24" t="s">
        <v>59</v>
      </c>
      <c r="C138" s="25" t="s">
        <v>58</v>
      </c>
      <c r="D138" s="25" t="s">
        <v>23</v>
      </c>
      <c r="E138" s="26">
        <v>265400</v>
      </c>
      <c r="F138" s="7"/>
      <c r="G138" s="10">
        <f t="shared" si="0"/>
        <v>318480</v>
      </c>
    </row>
    <row r="139" spans="1:7" ht="15.75">
      <c r="A139" s="213" t="s">
        <v>70</v>
      </c>
      <c r="B139" s="213"/>
      <c r="C139" s="213"/>
      <c r="D139" s="213"/>
      <c r="E139" s="213"/>
      <c r="F139" s="213"/>
      <c r="G139" s="10"/>
    </row>
    <row r="140" spans="1:7" ht="16.5" thickBot="1">
      <c r="A140" s="212" t="s">
        <v>71</v>
      </c>
      <c r="B140" s="212"/>
      <c r="C140" s="212"/>
      <c r="D140" s="212"/>
      <c r="E140" s="212"/>
      <c r="F140" s="212"/>
      <c r="G140" s="10"/>
    </row>
    <row r="141" spans="1:7" ht="30.75" thickBot="1">
      <c r="A141" s="3"/>
      <c r="B141" s="4" t="s">
        <v>3</v>
      </c>
      <c r="C141" s="5" t="s">
        <v>5</v>
      </c>
      <c r="D141" s="5" t="s">
        <v>74</v>
      </c>
      <c r="E141" s="6" t="s">
        <v>6</v>
      </c>
      <c r="F141" s="7"/>
      <c r="G141" s="10"/>
    </row>
    <row r="142" spans="1:7" ht="15.75" customHeight="1">
      <c r="A142" s="3"/>
      <c r="B142" s="216" t="s">
        <v>39</v>
      </c>
      <c r="C142" s="219" t="s">
        <v>72</v>
      </c>
      <c r="D142" s="222" t="s">
        <v>75</v>
      </c>
      <c r="E142" s="221">
        <v>92100</v>
      </c>
      <c r="F142" s="7"/>
      <c r="G142" s="214">
        <f t="shared" si="0"/>
        <v>110520</v>
      </c>
    </row>
    <row r="143" spans="1:7" ht="15.75" customHeight="1">
      <c r="A143" s="3"/>
      <c r="B143" s="217"/>
      <c r="C143" s="208"/>
      <c r="D143" s="206"/>
      <c r="E143" s="204"/>
      <c r="F143" s="7"/>
      <c r="G143" s="214"/>
    </row>
    <row r="144" spans="1:7" ht="15">
      <c r="A144" s="3"/>
      <c r="B144" s="217"/>
      <c r="C144" s="207" t="s">
        <v>73</v>
      </c>
      <c r="D144" s="205" t="s">
        <v>76</v>
      </c>
      <c r="E144" s="203">
        <v>81500</v>
      </c>
      <c r="F144" s="7"/>
      <c r="G144" s="214">
        <f t="shared" si="0"/>
        <v>97800</v>
      </c>
    </row>
    <row r="145" spans="1:7" ht="15">
      <c r="A145" s="3"/>
      <c r="B145" s="217"/>
      <c r="C145" s="208"/>
      <c r="D145" s="206"/>
      <c r="E145" s="204"/>
      <c r="F145" s="7"/>
      <c r="G145" s="214"/>
    </row>
    <row r="146" spans="1:7" ht="15">
      <c r="A146" s="3"/>
      <c r="B146" s="217"/>
      <c r="C146" s="207" t="s">
        <v>73</v>
      </c>
      <c r="D146" s="205" t="s">
        <v>77</v>
      </c>
      <c r="E146" s="203">
        <v>66300</v>
      </c>
      <c r="F146" s="7"/>
      <c r="G146" s="214">
        <f t="shared" si="0"/>
        <v>79560</v>
      </c>
    </row>
    <row r="147" spans="1:7" ht="15">
      <c r="A147" s="3"/>
      <c r="B147" s="217"/>
      <c r="C147" s="208"/>
      <c r="D147" s="206"/>
      <c r="E147" s="204"/>
      <c r="F147" s="7"/>
      <c r="G147" s="214"/>
    </row>
    <row r="148" spans="1:7" ht="15">
      <c r="A148" s="3"/>
      <c r="B148" s="217"/>
      <c r="C148" s="207" t="s">
        <v>73</v>
      </c>
      <c r="D148" s="205" t="s">
        <v>78</v>
      </c>
      <c r="E148" s="203">
        <v>251000</v>
      </c>
      <c r="F148" s="7"/>
      <c r="G148" s="214">
        <f t="shared" si="0"/>
        <v>301200</v>
      </c>
    </row>
    <row r="149" spans="1:7" ht="15.75" thickBot="1">
      <c r="A149" s="3"/>
      <c r="B149" s="218"/>
      <c r="C149" s="209"/>
      <c r="D149" s="210"/>
      <c r="E149" s="211"/>
      <c r="F149" s="7"/>
      <c r="G149" s="214"/>
    </row>
    <row r="150" spans="1:7" ht="15.75">
      <c r="A150" s="213" t="s">
        <v>79</v>
      </c>
      <c r="B150" s="213"/>
      <c r="C150" s="213"/>
      <c r="D150" s="213"/>
      <c r="E150" s="213"/>
      <c r="F150" s="213"/>
      <c r="G150" s="10"/>
    </row>
    <row r="151" spans="1:7" ht="16.5" thickBot="1">
      <c r="A151" s="212" t="s">
        <v>80</v>
      </c>
      <c r="B151" s="212"/>
      <c r="C151" s="212"/>
      <c r="D151" s="212"/>
      <c r="E151" s="212"/>
      <c r="F151" s="212"/>
      <c r="G151" s="10"/>
    </row>
    <row r="152" spans="1:7" ht="30.75" thickBot="1">
      <c r="A152" s="3"/>
      <c r="B152" s="4" t="s">
        <v>3</v>
      </c>
      <c r="C152" s="5" t="s">
        <v>5</v>
      </c>
      <c r="D152" s="5" t="s">
        <v>74</v>
      </c>
      <c r="E152" s="6" t="s">
        <v>6</v>
      </c>
      <c r="F152" s="7"/>
      <c r="G152" s="10"/>
    </row>
    <row r="153" spans="1:7" ht="16.5" thickBot="1">
      <c r="A153" s="3"/>
      <c r="B153" s="24" t="s">
        <v>81</v>
      </c>
      <c r="C153" s="25" t="s">
        <v>82</v>
      </c>
      <c r="D153" s="25"/>
      <c r="E153" s="26">
        <v>79800</v>
      </c>
      <c r="F153" s="7"/>
      <c r="G153" s="10">
        <f t="shared" si="0"/>
        <v>95760</v>
      </c>
    </row>
    <row r="154" spans="1:7" ht="16.5" thickBot="1">
      <c r="A154" s="213" t="s">
        <v>83</v>
      </c>
      <c r="B154" s="213"/>
      <c r="C154" s="213"/>
      <c r="D154" s="213"/>
      <c r="E154" s="213"/>
      <c r="F154" s="213"/>
      <c r="G154" s="10"/>
    </row>
    <row r="155" spans="1:7" ht="30.75" thickBot="1">
      <c r="A155" s="3"/>
      <c r="B155" s="4"/>
      <c r="C155" s="5"/>
      <c r="D155" s="5"/>
      <c r="E155" s="6" t="s">
        <v>6</v>
      </c>
      <c r="F155" s="7"/>
      <c r="G155" s="10"/>
    </row>
    <row r="156" spans="1:7" ht="16.5" thickBot="1">
      <c r="A156" s="3"/>
      <c r="B156" s="24"/>
      <c r="C156" s="25"/>
      <c r="D156" s="25"/>
      <c r="E156" s="26">
        <v>90500</v>
      </c>
      <c r="F156" s="7"/>
      <c r="G156" s="10">
        <f t="shared" si="0"/>
        <v>108600</v>
      </c>
    </row>
  </sheetData>
  <sheetProtection/>
  <mergeCells count="114">
    <mergeCell ref="A96:F96"/>
    <mergeCell ref="B98:B100"/>
    <mergeCell ref="C98:C99"/>
    <mergeCell ref="C86:C87"/>
    <mergeCell ref="A89:F89"/>
    <mergeCell ref="B91:B94"/>
    <mergeCell ref="C91:C92"/>
    <mergeCell ref="C93:C94"/>
    <mergeCell ref="A88:F88"/>
    <mergeCell ref="E98:E99"/>
    <mergeCell ref="G41:G42"/>
    <mergeCell ref="B74:B75"/>
    <mergeCell ref="C74:C75"/>
    <mergeCell ref="A76:F76"/>
    <mergeCell ref="A82:F82"/>
    <mergeCell ref="A95:F95"/>
    <mergeCell ref="B41:B42"/>
    <mergeCell ref="C41:C42"/>
    <mergeCell ref="E41:E42"/>
    <mergeCell ref="A43:F43"/>
    <mergeCell ref="A135:F135"/>
    <mergeCell ref="A136:F136"/>
    <mergeCell ref="B24:B26"/>
    <mergeCell ref="C24:C26"/>
    <mergeCell ref="A27:F27"/>
    <mergeCell ref="A28:F28"/>
    <mergeCell ref="B30:B32"/>
    <mergeCell ref="C30:C32"/>
    <mergeCell ref="A44:F44"/>
    <mergeCell ref="B46:B47"/>
    <mergeCell ref="A72:F72"/>
    <mergeCell ref="C68:C70"/>
    <mergeCell ref="C78:C79"/>
    <mergeCell ref="C80:C81"/>
    <mergeCell ref="B84:B87"/>
    <mergeCell ref="C84:C85"/>
    <mergeCell ref="B78:B81"/>
    <mergeCell ref="B9:B20"/>
    <mergeCell ref="C9:C11"/>
    <mergeCell ref="C12:C14"/>
    <mergeCell ref="C15:C17"/>
    <mergeCell ref="C46:C47"/>
    <mergeCell ref="A71:F71"/>
    <mergeCell ref="A33:F33"/>
    <mergeCell ref="A34:F34"/>
    <mergeCell ref="B36:B37"/>
    <mergeCell ref="C36:C37"/>
    <mergeCell ref="A21:F21"/>
    <mergeCell ref="A48:F48"/>
    <mergeCell ref="A49:F49"/>
    <mergeCell ref="A50:F50"/>
    <mergeCell ref="A51:F51"/>
    <mergeCell ref="A52:F52"/>
    <mergeCell ref="A38:F38"/>
    <mergeCell ref="A39:F39"/>
    <mergeCell ref="A63:F63"/>
    <mergeCell ref="A22:F22"/>
    <mergeCell ref="A1:F1"/>
    <mergeCell ref="A2:F2"/>
    <mergeCell ref="A3:F3"/>
    <mergeCell ref="A4:F4"/>
    <mergeCell ref="A5:F5"/>
    <mergeCell ref="A6:F6"/>
    <mergeCell ref="A7:F7"/>
    <mergeCell ref="C18:C20"/>
    <mergeCell ref="C124:C126"/>
    <mergeCell ref="A102:F102"/>
    <mergeCell ref="A106:F106"/>
    <mergeCell ref="A109:F109"/>
    <mergeCell ref="B54:B62"/>
    <mergeCell ref="C54:C56"/>
    <mergeCell ref="C57:C59"/>
    <mergeCell ref="C60:C62"/>
    <mergeCell ref="C65:C67"/>
    <mergeCell ref="B65:B70"/>
    <mergeCell ref="C118:C120"/>
    <mergeCell ref="A128:F128"/>
    <mergeCell ref="B130:B133"/>
    <mergeCell ref="C130:C131"/>
    <mergeCell ref="A101:F101"/>
    <mergeCell ref="A103:F103"/>
    <mergeCell ref="A113:F113"/>
    <mergeCell ref="B115:B126"/>
    <mergeCell ref="C115:C117"/>
    <mergeCell ref="C121:C123"/>
    <mergeCell ref="A150:F150"/>
    <mergeCell ref="A139:F139"/>
    <mergeCell ref="A140:F140"/>
    <mergeCell ref="B142:B149"/>
    <mergeCell ref="C142:C143"/>
    <mergeCell ref="A110:F110"/>
    <mergeCell ref="A111:F111"/>
    <mergeCell ref="A112:F112"/>
    <mergeCell ref="E142:E143"/>
    <mergeCell ref="D142:D143"/>
    <mergeCell ref="A151:F151"/>
    <mergeCell ref="A154:F154"/>
    <mergeCell ref="G98:G99"/>
    <mergeCell ref="G142:G143"/>
    <mergeCell ref="G144:G145"/>
    <mergeCell ref="G146:G147"/>
    <mergeCell ref="G148:G149"/>
    <mergeCell ref="C132:C133"/>
    <mergeCell ref="A127:F127"/>
    <mergeCell ref="A134:F134"/>
    <mergeCell ref="E144:E145"/>
    <mergeCell ref="D146:D147"/>
    <mergeCell ref="E146:E147"/>
    <mergeCell ref="C144:C145"/>
    <mergeCell ref="C146:C147"/>
    <mergeCell ref="C148:C149"/>
    <mergeCell ref="D148:D149"/>
    <mergeCell ref="E148:E149"/>
    <mergeCell ref="D144:D145"/>
  </mergeCells>
  <printOptions/>
  <pageMargins left="0.984251968503937" right="0.5905511811023623" top="0.3937007874015748" bottom="0.3937007874015748" header="0.31496062992125984" footer="0.31496062992125984"/>
  <pageSetup horizontalDpi="600" verticalDpi="600" orientation="portrait" paperSize="9" scale="91" r:id="rId1"/>
  <rowBreaks count="3" manualBreakCount="3">
    <brk id="47" max="5" man="1"/>
    <brk id="94" max="5" man="1"/>
    <brk id="13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I75"/>
  <sheetViews>
    <sheetView view="pageBreakPreview" zoomScale="60" zoomScalePageLayoutView="0" workbookViewId="0" topLeftCell="A1">
      <selection activeCell="L12" sqref="L12"/>
    </sheetView>
  </sheetViews>
  <sheetFormatPr defaultColWidth="9.00390625" defaultRowHeight="12.75"/>
  <cols>
    <col min="1" max="1" width="2.875" style="31" customWidth="1"/>
    <col min="2" max="2" width="5.00390625" style="54" customWidth="1"/>
    <col min="3" max="3" width="54.25390625" style="31" customWidth="1"/>
    <col min="4" max="4" width="9.875" style="54" customWidth="1"/>
    <col min="5" max="5" width="25.25390625" style="54" customWidth="1"/>
    <col min="6" max="16384" width="9.125" style="31" customWidth="1"/>
  </cols>
  <sheetData>
    <row r="1" ht="9" customHeight="1"/>
    <row r="2" spans="3:5" ht="24" customHeight="1">
      <c r="C2" s="328" t="s">
        <v>268</v>
      </c>
      <c r="D2" s="328"/>
      <c r="E2" s="328"/>
    </row>
    <row r="3" spans="3:5" ht="21" customHeight="1">
      <c r="C3" s="323" t="s">
        <v>101</v>
      </c>
      <c r="D3" s="323"/>
      <c r="E3" s="323"/>
    </row>
    <row r="4" spans="3:5" ht="18.75" customHeight="1">
      <c r="C4" s="323" t="s">
        <v>258</v>
      </c>
      <c r="D4" s="323"/>
      <c r="E4" s="323"/>
    </row>
    <row r="5" spans="4:5" ht="18.75" customHeight="1">
      <c r="D5" s="35"/>
      <c r="E5" s="35"/>
    </row>
    <row r="6" spans="2:9" ht="26.25" customHeight="1">
      <c r="B6" s="321" t="s">
        <v>151</v>
      </c>
      <c r="C6" s="321"/>
      <c r="D6" s="321"/>
      <c r="E6" s="321"/>
      <c r="F6" s="42"/>
      <c r="G6" s="42"/>
      <c r="H6" s="42"/>
      <c r="I6" s="42"/>
    </row>
    <row r="8" spans="2:5" ht="37.5" customHeight="1">
      <c r="B8" s="38" t="s">
        <v>104</v>
      </c>
      <c r="C8" s="40" t="s">
        <v>128</v>
      </c>
      <c r="D8" s="38" t="s">
        <v>129</v>
      </c>
      <c r="E8" s="38" t="s">
        <v>130</v>
      </c>
    </row>
    <row r="9" spans="2:5" ht="18.75">
      <c r="B9" s="329" t="s">
        <v>211</v>
      </c>
      <c r="C9" s="329"/>
      <c r="D9" s="329"/>
      <c r="E9" s="329"/>
    </row>
    <row r="10" spans="2:5" ht="18.75">
      <c r="B10" s="57">
        <v>1</v>
      </c>
      <c r="C10" s="58" t="s">
        <v>359</v>
      </c>
      <c r="D10" s="57" t="s">
        <v>167</v>
      </c>
      <c r="E10" s="196">
        <v>8</v>
      </c>
    </row>
    <row r="11" spans="2:5" ht="18.75">
      <c r="B11" s="57">
        <v>2</v>
      </c>
      <c r="C11" s="58" t="s">
        <v>257</v>
      </c>
      <c r="D11" s="57" t="s">
        <v>167</v>
      </c>
      <c r="E11" s="68">
        <v>6</v>
      </c>
    </row>
    <row r="12" spans="2:5" ht="18.75">
      <c r="B12" s="57">
        <v>3</v>
      </c>
      <c r="C12" s="58" t="s">
        <v>212</v>
      </c>
      <c r="D12" s="57" t="s">
        <v>167</v>
      </c>
      <c r="E12" s="68">
        <v>6</v>
      </c>
    </row>
    <row r="13" spans="2:5" ht="18.75">
      <c r="B13" s="57">
        <v>4</v>
      </c>
      <c r="C13" s="36" t="s">
        <v>213</v>
      </c>
      <c r="D13" s="57" t="s">
        <v>167</v>
      </c>
      <c r="E13" s="52">
        <v>7</v>
      </c>
    </row>
    <row r="14" spans="2:5" ht="18.75">
      <c r="B14" s="57">
        <v>5</v>
      </c>
      <c r="C14" s="36" t="s">
        <v>295</v>
      </c>
      <c r="D14" s="57" t="s">
        <v>167</v>
      </c>
      <c r="E14" s="52">
        <v>5</v>
      </c>
    </row>
    <row r="15" spans="2:5" ht="18.75">
      <c r="B15" s="57">
        <v>6</v>
      </c>
      <c r="C15" s="36" t="s">
        <v>296</v>
      </c>
      <c r="D15" s="57" t="s">
        <v>167</v>
      </c>
      <c r="E15" s="52">
        <v>5</v>
      </c>
    </row>
    <row r="16" spans="2:5" ht="18.75">
      <c r="B16" s="57">
        <v>7</v>
      </c>
      <c r="C16" s="36" t="s">
        <v>360</v>
      </c>
      <c r="D16" s="57" t="s">
        <v>167</v>
      </c>
      <c r="E16" s="52">
        <v>6</v>
      </c>
    </row>
    <row r="17" spans="2:5" ht="18.75">
      <c r="B17" s="57">
        <v>8</v>
      </c>
      <c r="C17" s="36" t="s">
        <v>381</v>
      </c>
      <c r="D17" s="57" t="s">
        <v>167</v>
      </c>
      <c r="E17" s="52">
        <v>5</v>
      </c>
    </row>
    <row r="18" spans="2:5" ht="18.75">
      <c r="B18" s="57">
        <v>9</v>
      </c>
      <c r="C18" s="36" t="s">
        <v>362</v>
      </c>
      <c r="D18" s="57" t="s">
        <v>167</v>
      </c>
      <c r="E18" s="52">
        <v>7</v>
      </c>
    </row>
    <row r="19" spans="2:5" ht="18.75">
      <c r="B19" s="57">
        <v>10</v>
      </c>
      <c r="C19" s="36" t="s">
        <v>361</v>
      </c>
      <c r="D19" s="57" t="s">
        <v>167</v>
      </c>
      <c r="E19" s="52">
        <v>6</v>
      </c>
    </row>
    <row r="20" spans="2:5" ht="18.75">
      <c r="B20" s="57">
        <v>11</v>
      </c>
      <c r="C20" s="36" t="s">
        <v>176</v>
      </c>
      <c r="D20" s="57" t="s">
        <v>167</v>
      </c>
      <c r="E20" s="52">
        <v>13</v>
      </c>
    </row>
    <row r="21" spans="2:5" ht="18.75">
      <c r="B21" s="57">
        <v>12</v>
      </c>
      <c r="C21" s="36" t="s">
        <v>318</v>
      </c>
      <c r="D21" s="57" t="s">
        <v>167</v>
      </c>
      <c r="E21" s="52">
        <v>16</v>
      </c>
    </row>
    <row r="22" spans="2:5" ht="18.75">
      <c r="B22" s="57">
        <v>13</v>
      </c>
      <c r="C22" s="66" t="s">
        <v>284</v>
      </c>
      <c r="D22" s="57" t="s">
        <v>167</v>
      </c>
      <c r="E22" s="52">
        <v>13</v>
      </c>
    </row>
    <row r="23" spans="2:5" ht="18.75">
      <c r="B23" s="57">
        <v>14</v>
      </c>
      <c r="C23" s="66" t="s">
        <v>290</v>
      </c>
      <c r="D23" s="57" t="s">
        <v>167</v>
      </c>
      <c r="E23" s="52">
        <v>13</v>
      </c>
    </row>
    <row r="24" spans="2:5" ht="18.75">
      <c r="B24" s="57">
        <v>15</v>
      </c>
      <c r="C24" s="66" t="s">
        <v>363</v>
      </c>
      <c r="D24" s="57" t="s">
        <v>167</v>
      </c>
      <c r="E24" s="52">
        <v>9</v>
      </c>
    </row>
    <row r="25" spans="2:6" ht="18.75">
      <c r="B25" s="57">
        <v>16</v>
      </c>
      <c r="C25" s="36" t="s">
        <v>358</v>
      </c>
      <c r="D25" s="57" t="s">
        <v>167</v>
      </c>
      <c r="E25" s="52">
        <v>8</v>
      </c>
      <c r="F25" s="31" t="s">
        <v>214</v>
      </c>
    </row>
    <row r="26" spans="2:5" ht="18.75">
      <c r="B26" s="57">
        <v>17</v>
      </c>
      <c r="C26" s="36" t="s">
        <v>364</v>
      </c>
      <c r="D26" s="57" t="s">
        <v>167</v>
      </c>
      <c r="E26" s="52">
        <v>8</v>
      </c>
    </row>
    <row r="27" spans="2:5" ht="18.75">
      <c r="B27" s="57">
        <v>18</v>
      </c>
      <c r="C27" s="36" t="s">
        <v>365</v>
      </c>
      <c r="D27" s="57" t="s">
        <v>167</v>
      </c>
      <c r="E27" s="52">
        <v>8</v>
      </c>
    </row>
    <row r="28" spans="2:5" ht="18.75">
      <c r="B28" s="57">
        <v>19</v>
      </c>
      <c r="C28" s="36" t="s">
        <v>204</v>
      </c>
      <c r="D28" s="57" t="s">
        <v>167</v>
      </c>
      <c r="E28" s="52">
        <v>6.5</v>
      </c>
    </row>
    <row r="29" spans="2:5" ht="18.75">
      <c r="B29" s="57">
        <v>20</v>
      </c>
      <c r="C29" s="67" t="s">
        <v>288</v>
      </c>
      <c r="D29" s="57" t="s">
        <v>167</v>
      </c>
      <c r="E29" s="52">
        <v>9</v>
      </c>
    </row>
    <row r="30" spans="2:5" ht="18.75">
      <c r="B30" s="57">
        <v>21</v>
      </c>
      <c r="C30" s="67" t="s">
        <v>366</v>
      </c>
      <c r="D30" s="57" t="s">
        <v>167</v>
      </c>
      <c r="E30" s="52">
        <v>8</v>
      </c>
    </row>
    <row r="31" spans="2:5" ht="18.75">
      <c r="B31" s="57">
        <v>22</v>
      </c>
      <c r="C31" s="67" t="s">
        <v>367</v>
      </c>
      <c r="D31" s="57" t="s">
        <v>167</v>
      </c>
      <c r="E31" s="52">
        <v>8</v>
      </c>
    </row>
    <row r="32" spans="2:5" ht="18.75">
      <c r="B32" s="57">
        <v>23</v>
      </c>
      <c r="C32" s="67" t="s">
        <v>291</v>
      </c>
      <c r="D32" s="57" t="s">
        <v>167</v>
      </c>
      <c r="E32" s="52">
        <v>9</v>
      </c>
    </row>
    <row r="33" spans="2:5" ht="18.75">
      <c r="B33" s="57">
        <v>24</v>
      </c>
      <c r="C33" s="67" t="s">
        <v>368</v>
      </c>
      <c r="D33" s="57" t="s">
        <v>167</v>
      </c>
      <c r="E33" s="52">
        <v>8</v>
      </c>
    </row>
    <row r="34" spans="2:5" ht="18.75">
      <c r="B34" s="57">
        <v>25</v>
      </c>
      <c r="C34" s="36" t="s">
        <v>215</v>
      </c>
      <c r="D34" s="57" t="s">
        <v>167</v>
      </c>
      <c r="E34" s="52">
        <v>7</v>
      </c>
    </row>
    <row r="35" spans="2:5" ht="18.75">
      <c r="B35" s="57">
        <v>26</v>
      </c>
      <c r="C35" s="66" t="s">
        <v>207</v>
      </c>
      <c r="D35" s="57" t="s">
        <v>167</v>
      </c>
      <c r="E35" s="52">
        <v>6</v>
      </c>
    </row>
    <row r="36" spans="2:5" ht="18.75">
      <c r="B36" s="57">
        <v>27</v>
      </c>
      <c r="C36" s="66" t="s">
        <v>246</v>
      </c>
      <c r="D36" s="57" t="s">
        <v>167</v>
      </c>
      <c r="E36" s="52">
        <v>7</v>
      </c>
    </row>
    <row r="37" spans="2:5" ht="18.75">
      <c r="B37" s="57">
        <v>28</v>
      </c>
      <c r="C37" s="66" t="s">
        <v>281</v>
      </c>
      <c r="D37" s="57" t="s">
        <v>167</v>
      </c>
      <c r="E37" s="52">
        <v>8</v>
      </c>
    </row>
    <row r="38" spans="2:5" ht="18.75">
      <c r="B38" s="57">
        <v>29</v>
      </c>
      <c r="C38" s="66" t="s">
        <v>208</v>
      </c>
      <c r="D38" s="57" t="s">
        <v>167</v>
      </c>
      <c r="E38" s="52">
        <v>7</v>
      </c>
    </row>
    <row r="39" spans="2:5" ht="18.75">
      <c r="B39" s="57">
        <v>30</v>
      </c>
      <c r="C39" s="66" t="s">
        <v>247</v>
      </c>
      <c r="D39" s="57" t="s">
        <v>167</v>
      </c>
      <c r="E39" s="52">
        <v>7</v>
      </c>
    </row>
    <row r="40" spans="2:5" ht="18.75">
      <c r="B40" s="57">
        <v>31</v>
      </c>
      <c r="C40" s="66" t="s">
        <v>248</v>
      </c>
      <c r="D40" s="57" t="s">
        <v>167</v>
      </c>
      <c r="E40" s="52">
        <v>8</v>
      </c>
    </row>
    <row r="41" spans="2:5" ht="18.75">
      <c r="B41" s="57">
        <v>32</v>
      </c>
      <c r="C41" s="66" t="s">
        <v>249</v>
      </c>
      <c r="D41" s="57" t="s">
        <v>167</v>
      </c>
      <c r="E41" s="52">
        <v>7</v>
      </c>
    </row>
    <row r="42" spans="2:5" ht="37.5" customHeight="1">
      <c r="B42" s="38" t="s">
        <v>104</v>
      </c>
      <c r="C42" s="40" t="s">
        <v>128</v>
      </c>
      <c r="D42" s="38" t="s">
        <v>129</v>
      </c>
      <c r="E42" s="38" t="s">
        <v>130</v>
      </c>
    </row>
    <row r="43" spans="2:5" ht="18.75">
      <c r="B43" s="57">
        <v>33</v>
      </c>
      <c r="C43" s="66" t="s">
        <v>250</v>
      </c>
      <c r="D43" s="57" t="s">
        <v>167</v>
      </c>
      <c r="E43" s="52">
        <v>8</v>
      </c>
    </row>
    <row r="44" spans="2:5" ht="18.75">
      <c r="B44" s="57">
        <v>34</v>
      </c>
      <c r="C44" s="66" t="s">
        <v>251</v>
      </c>
      <c r="D44" s="57" t="s">
        <v>167</v>
      </c>
      <c r="E44" s="52">
        <v>8</v>
      </c>
    </row>
    <row r="45" spans="2:5" ht="18.75">
      <c r="B45" s="57">
        <v>35</v>
      </c>
      <c r="C45" s="66" t="s">
        <v>283</v>
      </c>
      <c r="D45" s="57" t="s">
        <v>167</v>
      </c>
      <c r="E45" s="52">
        <v>7</v>
      </c>
    </row>
    <row r="46" spans="2:5" ht="18.75">
      <c r="B46" s="57">
        <v>36</v>
      </c>
      <c r="C46" s="66" t="s">
        <v>289</v>
      </c>
      <c r="D46" s="57" t="s">
        <v>167</v>
      </c>
      <c r="E46" s="52">
        <v>9</v>
      </c>
    </row>
    <row r="47" spans="2:5" ht="18.75">
      <c r="B47" s="57">
        <v>37</v>
      </c>
      <c r="C47" s="66" t="s">
        <v>369</v>
      </c>
      <c r="D47" s="57" t="s">
        <v>167</v>
      </c>
      <c r="E47" s="52">
        <v>7</v>
      </c>
    </row>
    <row r="48" spans="2:5" ht="18.75">
      <c r="B48" s="57">
        <v>38</v>
      </c>
      <c r="C48" s="66" t="s">
        <v>370</v>
      </c>
      <c r="D48" s="57" t="s">
        <v>167</v>
      </c>
      <c r="E48" s="52">
        <v>8</v>
      </c>
    </row>
    <row r="49" spans="2:5" ht="18.75">
      <c r="B49" s="57">
        <v>39</v>
      </c>
      <c r="C49" s="66" t="s">
        <v>292</v>
      </c>
      <c r="D49" s="57" t="s">
        <v>167</v>
      </c>
      <c r="E49" s="52">
        <v>8</v>
      </c>
    </row>
    <row r="50" spans="2:5" ht="18.75">
      <c r="B50" s="57">
        <v>40</v>
      </c>
      <c r="C50" s="66" t="s">
        <v>371</v>
      </c>
      <c r="D50" s="57" t="s">
        <v>167</v>
      </c>
      <c r="E50" s="52">
        <v>8</v>
      </c>
    </row>
    <row r="51" spans="2:5" ht="18.75">
      <c r="B51" s="57">
        <v>41</v>
      </c>
      <c r="C51" s="67" t="s">
        <v>216</v>
      </c>
      <c r="D51" s="57" t="s">
        <v>167</v>
      </c>
      <c r="E51" s="52">
        <v>8</v>
      </c>
    </row>
    <row r="52" spans="2:5" ht="18.75">
      <c r="B52" s="57">
        <v>42</v>
      </c>
      <c r="C52" s="67" t="s">
        <v>253</v>
      </c>
      <c r="D52" s="57" t="s">
        <v>167</v>
      </c>
      <c r="E52" s="52">
        <v>8</v>
      </c>
    </row>
    <row r="53" spans="2:5" ht="18.75">
      <c r="B53" s="57">
        <v>43</v>
      </c>
      <c r="C53" s="67" t="s">
        <v>297</v>
      </c>
      <c r="D53" s="57" t="s">
        <v>167</v>
      </c>
      <c r="E53" s="52">
        <v>6</v>
      </c>
    </row>
    <row r="54" spans="2:5" ht="18.75">
      <c r="B54" s="57">
        <v>44</v>
      </c>
      <c r="C54" s="67" t="s">
        <v>374</v>
      </c>
      <c r="D54" s="57" t="s">
        <v>167</v>
      </c>
      <c r="E54" s="52">
        <v>6</v>
      </c>
    </row>
    <row r="55" spans="2:5" ht="18.75">
      <c r="B55" s="57">
        <v>45</v>
      </c>
      <c r="C55" s="67" t="s">
        <v>252</v>
      </c>
      <c r="D55" s="57" t="s">
        <v>167</v>
      </c>
      <c r="E55" s="52">
        <v>16</v>
      </c>
    </row>
    <row r="56" spans="2:5" ht="18.75">
      <c r="B56" s="57">
        <v>46</v>
      </c>
      <c r="C56" s="67" t="s">
        <v>375</v>
      </c>
      <c r="D56" s="57" t="s">
        <v>167</v>
      </c>
      <c r="E56" s="52">
        <v>7</v>
      </c>
    </row>
    <row r="57" spans="2:5" ht="18.75">
      <c r="B57" s="57">
        <v>47</v>
      </c>
      <c r="C57" s="66" t="s">
        <v>285</v>
      </c>
      <c r="D57" s="57" t="s">
        <v>167</v>
      </c>
      <c r="E57" s="52">
        <v>8</v>
      </c>
    </row>
    <row r="58" spans="2:5" ht="18.75">
      <c r="B58" s="57">
        <v>48</v>
      </c>
      <c r="C58" s="67" t="s">
        <v>184</v>
      </c>
      <c r="D58" s="57" t="s">
        <v>167</v>
      </c>
      <c r="E58" s="52">
        <v>6.5</v>
      </c>
    </row>
    <row r="59" spans="2:5" ht="18.75">
      <c r="B59" s="57">
        <v>49</v>
      </c>
      <c r="C59" s="67" t="s">
        <v>254</v>
      </c>
      <c r="D59" s="57" t="s">
        <v>167</v>
      </c>
      <c r="E59" s="52">
        <v>7.5</v>
      </c>
    </row>
    <row r="60" spans="2:5" ht="18.75">
      <c r="B60" s="57">
        <v>50</v>
      </c>
      <c r="C60" s="66" t="s">
        <v>282</v>
      </c>
      <c r="D60" s="57" t="s">
        <v>167</v>
      </c>
      <c r="E60" s="52">
        <v>9</v>
      </c>
    </row>
    <row r="61" spans="2:5" ht="18.75">
      <c r="B61" s="57">
        <v>51</v>
      </c>
      <c r="C61" s="66" t="s">
        <v>373</v>
      </c>
      <c r="D61" s="57" t="s">
        <v>167</v>
      </c>
      <c r="E61" s="52">
        <v>8</v>
      </c>
    </row>
    <row r="62" spans="2:5" ht="18.75">
      <c r="B62" s="57">
        <v>52</v>
      </c>
      <c r="C62" s="62" t="s">
        <v>186</v>
      </c>
      <c r="D62" s="57" t="s">
        <v>167</v>
      </c>
      <c r="E62" s="52">
        <v>9</v>
      </c>
    </row>
    <row r="63" spans="2:5" ht="18.75">
      <c r="B63" s="57">
        <v>53</v>
      </c>
      <c r="C63" s="66" t="s">
        <v>286</v>
      </c>
      <c r="D63" s="57" t="s">
        <v>167</v>
      </c>
      <c r="E63" s="52">
        <v>9</v>
      </c>
    </row>
    <row r="64" spans="2:5" ht="18.75">
      <c r="B64" s="57">
        <v>54</v>
      </c>
      <c r="C64" s="66" t="s">
        <v>287</v>
      </c>
      <c r="D64" s="57" t="s">
        <v>167</v>
      </c>
      <c r="E64" s="52">
        <v>9</v>
      </c>
    </row>
    <row r="65" spans="2:5" ht="18.75">
      <c r="B65" s="57">
        <v>55</v>
      </c>
      <c r="C65" s="36" t="s">
        <v>217</v>
      </c>
      <c r="D65" s="57" t="s">
        <v>167</v>
      </c>
      <c r="E65" s="52">
        <v>9</v>
      </c>
    </row>
    <row r="66" spans="2:5" ht="18.75">
      <c r="B66" s="57">
        <v>56</v>
      </c>
      <c r="C66" s="67" t="s">
        <v>255</v>
      </c>
      <c r="D66" s="57" t="s">
        <v>167</v>
      </c>
      <c r="E66" s="52">
        <v>12</v>
      </c>
    </row>
    <row r="67" spans="2:5" ht="18.75">
      <c r="B67" s="57">
        <v>57</v>
      </c>
      <c r="C67" s="67" t="s">
        <v>256</v>
      </c>
      <c r="D67" s="57" t="s">
        <v>167</v>
      </c>
      <c r="E67" s="52">
        <v>6</v>
      </c>
    </row>
    <row r="68" spans="2:5" ht="18.75">
      <c r="B68" s="57">
        <v>58</v>
      </c>
      <c r="C68" s="67" t="s">
        <v>376</v>
      </c>
      <c r="D68" s="57" t="s">
        <v>167</v>
      </c>
      <c r="E68" s="52">
        <v>9</v>
      </c>
    </row>
    <row r="69" spans="2:5" ht="18.75">
      <c r="B69" s="57">
        <v>59</v>
      </c>
      <c r="C69" s="36" t="s">
        <v>218</v>
      </c>
      <c r="D69" s="57" t="s">
        <v>167</v>
      </c>
      <c r="E69" s="52">
        <v>9</v>
      </c>
    </row>
    <row r="70" spans="2:5" ht="18.75">
      <c r="B70" s="57">
        <v>60</v>
      </c>
      <c r="C70" s="36" t="s">
        <v>372</v>
      </c>
      <c r="D70" s="57" t="s">
        <v>167</v>
      </c>
      <c r="E70" s="52">
        <v>9</v>
      </c>
    </row>
    <row r="71" spans="2:5" ht="18.75">
      <c r="B71" s="57">
        <v>61</v>
      </c>
      <c r="C71" s="36" t="s">
        <v>377</v>
      </c>
      <c r="D71" s="57" t="s">
        <v>167</v>
      </c>
      <c r="E71" s="52">
        <v>9</v>
      </c>
    </row>
    <row r="72" spans="2:5" ht="18.75">
      <c r="B72" s="57">
        <v>62</v>
      </c>
      <c r="C72" s="36" t="s">
        <v>378</v>
      </c>
      <c r="D72" s="57" t="s">
        <v>167</v>
      </c>
      <c r="E72" s="52">
        <v>12</v>
      </c>
    </row>
    <row r="73" spans="2:5" ht="18.75">
      <c r="B73" s="57">
        <v>63</v>
      </c>
      <c r="C73" s="36" t="s">
        <v>379</v>
      </c>
      <c r="D73" s="57" t="s">
        <v>167</v>
      </c>
      <c r="E73" s="52">
        <v>9</v>
      </c>
    </row>
    <row r="74" spans="2:5" ht="18.75">
      <c r="B74" s="57">
        <v>64</v>
      </c>
      <c r="C74" s="36" t="s">
        <v>219</v>
      </c>
      <c r="D74" s="57" t="s">
        <v>167</v>
      </c>
      <c r="E74" s="52">
        <v>8</v>
      </c>
    </row>
    <row r="75" spans="2:5" ht="18.75">
      <c r="B75" s="57">
        <v>65</v>
      </c>
      <c r="C75" s="66" t="s">
        <v>293</v>
      </c>
      <c r="D75" s="57" t="s">
        <v>167</v>
      </c>
      <c r="E75" s="53">
        <v>6</v>
      </c>
    </row>
  </sheetData>
  <sheetProtection/>
  <mergeCells count="5">
    <mergeCell ref="B9:E9"/>
    <mergeCell ref="B6:E6"/>
    <mergeCell ref="C2:E2"/>
    <mergeCell ref="C3:E3"/>
    <mergeCell ref="C4:E4"/>
  </mergeCells>
  <printOptions/>
  <pageMargins left="0.15748031496062992" right="0.2362204724409449" top="0.1968503937007874" bottom="0.7480314960629921" header="0.1574803149606299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PageLayoutView="0" workbookViewId="0" topLeftCell="A1">
      <selection activeCell="C3" sqref="C3:C4"/>
    </sheetView>
  </sheetViews>
  <sheetFormatPr defaultColWidth="9.00390625" defaultRowHeight="12.75"/>
  <cols>
    <col min="1" max="1" width="1.75390625" style="31" customWidth="1"/>
    <col min="2" max="2" width="4.625" style="31" customWidth="1"/>
    <col min="3" max="3" width="49.25390625" style="31" customWidth="1"/>
    <col min="4" max="4" width="9.875" style="31" customWidth="1"/>
    <col min="5" max="5" width="14.625" style="31" customWidth="1"/>
    <col min="6" max="6" width="19.25390625" style="31" customWidth="1"/>
    <col min="7" max="16384" width="9.125" style="31" customWidth="1"/>
  </cols>
  <sheetData>
    <row r="1" spans="2:9" ht="31.5" customHeight="1">
      <c r="B1" s="330" t="s">
        <v>220</v>
      </c>
      <c r="C1" s="330"/>
      <c r="D1" s="330"/>
      <c r="E1" s="330"/>
      <c r="F1" s="330"/>
      <c r="G1" s="42"/>
      <c r="H1" s="42"/>
      <c r="I1" s="42"/>
    </row>
    <row r="3" spans="2:6" ht="39" customHeight="1">
      <c r="B3" s="331" t="s">
        <v>104</v>
      </c>
      <c r="C3" s="324" t="s">
        <v>128</v>
      </c>
      <c r="D3" s="331" t="s">
        <v>129</v>
      </c>
      <c r="E3" s="326" t="s">
        <v>130</v>
      </c>
      <c r="F3" s="327"/>
    </row>
    <row r="4" spans="2:6" ht="57.75" customHeight="1">
      <c r="B4" s="332"/>
      <c r="C4" s="325"/>
      <c r="D4" s="332"/>
      <c r="E4" s="38" t="s">
        <v>298</v>
      </c>
      <c r="F4" s="192" t="s">
        <v>299</v>
      </c>
    </row>
    <row r="5" spans="2:6" ht="27.75" customHeight="1">
      <c r="B5" s="43">
        <v>1</v>
      </c>
      <c r="C5" s="41" t="s">
        <v>221</v>
      </c>
      <c r="D5" s="33" t="s">
        <v>222</v>
      </c>
      <c r="E5" s="187">
        <v>0.11</v>
      </c>
      <c r="F5" s="189">
        <v>0.2</v>
      </c>
    </row>
    <row r="6" spans="2:6" ht="35.25" customHeight="1">
      <c r="B6" s="43">
        <v>2</v>
      </c>
      <c r="C6" s="41" t="s">
        <v>221</v>
      </c>
      <c r="D6" s="43" t="s">
        <v>223</v>
      </c>
      <c r="E6" s="202">
        <v>110</v>
      </c>
      <c r="F6" s="189">
        <v>200</v>
      </c>
    </row>
    <row r="7" spans="3:5" ht="18.75">
      <c r="C7" s="44"/>
      <c r="D7" s="45"/>
      <c r="E7" s="46"/>
    </row>
    <row r="8" spans="3:5" ht="18.75">
      <c r="C8" s="44"/>
      <c r="D8" s="45"/>
      <c r="E8" s="46"/>
    </row>
  </sheetData>
  <sheetProtection/>
  <mergeCells count="5">
    <mergeCell ref="B1:F1"/>
    <mergeCell ref="E3:F3"/>
    <mergeCell ref="B3:B4"/>
    <mergeCell ref="C3:C4"/>
    <mergeCell ref="D3:D4"/>
  </mergeCells>
  <printOptions/>
  <pageMargins left="0.24" right="0.21" top="0.32" bottom="0.75" header="0.16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.125" style="48" customWidth="1"/>
    <col min="2" max="2" width="6.25390625" style="61" customWidth="1"/>
    <col min="3" max="3" width="25.125" style="48" customWidth="1"/>
    <col min="4" max="4" width="34.375" style="48" customWidth="1"/>
    <col min="5" max="5" width="11.375" style="48" customWidth="1"/>
    <col min="6" max="6" width="29.00390625" style="48" customWidth="1"/>
    <col min="7" max="16384" width="9.125" style="48" customWidth="1"/>
  </cols>
  <sheetData>
    <row r="1" spans="2:6" ht="38.25" customHeight="1">
      <c r="B1" s="333" t="s">
        <v>244</v>
      </c>
      <c r="C1" s="333"/>
      <c r="D1" s="333"/>
      <c r="E1" s="333"/>
      <c r="F1" s="333"/>
    </row>
    <row r="3" spans="2:6" ht="44.25" customHeight="1">
      <c r="B3" s="65" t="s">
        <v>104</v>
      </c>
      <c r="C3" s="65" t="s">
        <v>225</v>
      </c>
      <c r="D3" s="65" t="s">
        <v>226</v>
      </c>
      <c r="E3" s="32" t="s">
        <v>129</v>
      </c>
      <c r="F3" s="49" t="s">
        <v>227</v>
      </c>
    </row>
    <row r="4" spans="2:6" ht="93.75" customHeight="1">
      <c r="B4" s="49">
        <v>1</v>
      </c>
      <c r="C4" s="50" t="s">
        <v>269</v>
      </c>
      <c r="D4" s="50" t="s">
        <v>228</v>
      </c>
      <c r="E4" s="49" t="s">
        <v>229</v>
      </c>
      <c r="F4" s="51">
        <v>75</v>
      </c>
    </row>
    <row r="5" spans="2:6" ht="94.5" customHeight="1">
      <c r="B5" s="49">
        <v>2</v>
      </c>
      <c r="C5" s="50" t="s">
        <v>230</v>
      </c>
      <c r="D5" s="50" t="s">
        <v>228</v>
      </c>
      <c r="E5" s="49" t="s">
        <v>229</v>
      </c>
      <c r="F5" s="51">
        <v>150</v>
      </c>
    </row>
    <row r="6" spans="2:6" ht="94.5" customHeight="1">
      <c r="B6" s="49">
        <v>3</v>
      </c>
      <c r="C6" s="50" t="s">
        <v>270</v>
      </c>
      <c r="D6" s="50" t="s">
        <v>228</v>
      </c>
      <c r="E6" s="49" t="s">
        <v>229</v>
      </c>
      <c r="F6" s="51">
        <v>65</v>
      </c>
    </row>
    <row r="7" spans="2:6" ht="94.5" customHeight="1">
      <c r="B7" s="49">
        <v>4</v>
      </c>
      <c r="C7" s="50" t="s">
        <v>271</v>
      </c>
      <c r="D7" s="50" t="s">
        <v>228</v>
      </c>
      <c r="E7" s="49" t="s">
        <v>229</v>
      </c>
      <c r="F7" s="51">
        <v>130</v>
      </c>
    </row>
    <row r="8" spans="2:6" ht="94.5" customHeight="1">
      <c r="B8" s="49">
        <v>5</v>
      </c>
      <c r="C8" s="50" t="s">
        <v>272</v>
      </c>
      <c r="D8" s="50" t="s">
        <v>228</v>
      </c>
      <c r="E8" s="49" t="s">
        <v>229</v>
      </c>
      <c r="F8" s="51">
        <v>75</v>
      </c>
    </row>
    <row r="9" spans="2:6" ht="94.5" customHeight="1">
      <c r="B9" s="49">
        <v>6</v>
      </c>
      <c r="C9" s="50" t="s">
        <v>273</v>
      </c>
      <c r="D9" s="50" t="s">
        <v>228</v>
      </c>
      <c r="E9" s="49" t="s">
        <v>229</v>
      </c>
      <c r="F9" s="51">
        <v>300</v>
      </c>
    </row>
    <row r="10" spans="2:6" ht="96.75" customHeight="1">
      <c r="B10" s="49">
        <v>7</v>
      </c>
      <c r="C10" s="50" t="s">
        <v>231</v>
      </c>
      <c r="D10" s="50" t="s">
        <v>228</v>
      </c>
      <c r="E10" s="49" t="s">
        <v>232</v>
      </c>
      <c r="F10" s="51">
        <v>20</v>
      </c>
    </row>
    <row r="11" spans="2:6" ht="44.25" customHeight="1">
      <c r="B11" s="65" t="s">
        <v>104</v>
      </c>
      <c r="C11" s="65" t="s">
        <v>225</v>
      </c>
      <c r="D11" s="65" t="s">
        <v>226</v>
      </c>
      <c r="E11" s="32" t="s">
        <v>129</v>
      </c>
      <c r="F11" s="49" t="s">
        <v>227</v>
      </c>
    </row>
    <row r="12" spans="2:6" ht="96.75" customHeight="1">
      <c r="B12" s="49">
        <v>8</v>
      </c>
      <c r="C12" s="50" t="s">
        <v>233</v>
      </c>
      <c r="D12" s="50" t="s">
        <v>228</v>
      </c>
      <c r="E12" s="49" t="s">
        <v>232</v>
      </c>
      <c r="F12" s="51">
        <v>22</v>
      </c>
    </row>
    <row r="13" spans="2:6" ht="39.75" customHeight="1">
      <c r="B13" s="49">
        <v>9</v>
      </c>
      <c r="C13" s="50" t="s">
        <v>306</v>
      </c>
      <c r="D13" s="50"/>
      <c r="E13" s="49" t="s">
        <v>134</v>
      </c>
      <c r="F13" s="51">
        <v>1.5</v>
      </c>
    </row>
    <row r="14" spans="2:6" ht="39.75" customHeight="1">
      <c r="B14" s="49">
        <v>10</v>
      </c>
      <c r="C14" s="50" t="s">
        <v>274</v>
      </c>
      <c r="D14" s="50"/>
      <c r="E14" s="49" t="s">
        <v>134</v>
      </c>
      <c r="F14" s="51">
        <v>10</v>
      </c>
    </row>
    <row r="15" spans="2:6" ht="37.5">
      <c r="B15" s="49">
        <v>11</v>
      </c>
      <c r="C15" s="50" t="s">
        <v>234</v>
      </c>
      <c r="D15" s="50" t="s">
        <v>305</v>
      </c>
      <c r="E15" s="49" t="s">
        <v>134</v>
      </c>
      <c r="F15" s="51">
        <v>30</v>
      </c>
    </row>
    <row r="16" spans="2:6" ht="18.75">
      <c r="B16" s="49">
        <v>12</v>
      </c>
      <c r="C16" s="50" t="s">
        <v>235</v>
      </c>
      <c r="D16" s="50"/>
      <c r="E16" s="49" t="s">
        <v>224</v>
      </c>
      <c r="F16" s="51">
        <v>1</v>
      </c>
    </row>
    <row r="17" spans="2:6" ht="18.75">
      <c r="B17" s="49">
        <v>13</v>
      </c>
      <c r="C17" s="50" t="s">
        <v>236</v>
      </c>
      <c r="D17" s="50"/>
      <c r="E17" s="49" t="s">
        <v>224</v>
      </c>
      <c r="F17" s="51">
        <v>1</v>
      </c>
    </row>
    <row r="18" spans="2:6" ht="37.5">
      <c r="B18" s="49">
        <v>14</v>
      </c>
      <c r="C18" s="50" t="s">
        <v>237</v>
      </c>
      <c r="D18" s="50" t="s">
        <v>238</v>
      </c>
      <c r="E18" s="49" t="s">
        <v>134</v>
      </c>
      <c r="F18" s="51">
        <v>2.5</v>
      </c>
    </row>
    <row r="19" spans="2:6" ht="44.25" customHeight="1">
      <c r="B19" s="49">
        <v>15</v>
      </c>
      <c r="C19" s="50" t="s">
        <v>239</v>
      </c>
      <c r="D19" s="49"/>
      <c r="E19" s="49" t="s">
        <v>232</v>
      </c>
      <c r="F19" s="51">
        <v>2</v>
      </c>
    </row>
    <row r="20" spans="2:6" ht="56.25">
      <c r="B20" s="49">
        <v>16</v>
      </c>
      <c r="C20" s="50" t="s">
        <v>240</v>
      </c>
      <c r="D20" s="50"/>
      <c r="E20" s="49" t="s">
        <v>232</v>
      </c>
      <c r="F20" s="51">
        <v>200</v>
      </c>
    </row>
    <row r="21" spans="2:6" ht="37.5">
      <c r="B21" s="49">
        <v>17</v>
      </c>
      <c r="C21" s="50" t="s">
        <v>241</v>
      </c>
      <c r="D21" s="50"/>
      <c r="E21" s="49" t="s">
        <v>134</v>
      </c>
      <c r="F21" s="51">
        <v>10</v>
      </c>
    </row>
    <row r="22" spans="2:6" ht="37.5">
      <c r="B22" s="49">
        <v>18</v>
      </c>
      <c r="C22" s="64" t="s">
        <v>242</v>
      </c>
      <c r="D22" s="50" t="s">
        <v>243</v>
      </c>
      <c r="E22" s="59" t="s">
        <v>232</v>
      </c>
      <c r="F22" s="69">
        <v>1000</v>
      </c>
    </row>
    <row r="23" spans="2:6" ht="112.5">
      <c r="B23" s="49">
        <v>19</v>
      </c>
      <c r="C23" s="194" t="s">
        <v>307</v>
      </c>
      <c r="D23" s="50" t="s">
        <v>309</v>
      </c>
      <c r="E23" s="59" t="s">
        <v>308</v>
      </c>
      <c r="F23" s="59">
        <v>61.67</v>
      </c>
    </row>
  </sheetData>
  <sheetProtection/>
  <mergeCells count="1">
    <mergeCell ref="B1:F1"/>
  </mergeCells>
  <printOptions/>
  <pageMargins left="0.16" right="0.21" top="0.25" bottom="0.24" header="0.16" footer="0.17"/>
  <pageSetup horizontalDpi="600" verticalDpi="600" orientation="portrait" paperSize="9" scale="88" r:id="rId1"/>
  <rowBreaks count="1" manualBreakCount="1">
    <brk id="1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.75390625" style="48" customWidth="1"/>
    <col min="2" max="2" width="5.375" style="48" customWidth="1"/>
    <col min="3" max="3" width="16.125" style="48" customWidth="1"/>
    <col min="4" max="4" width="16.25390625" style="48" customWidth="1"/>
    <col min="5" max="5" width="15.125" style="48" customWidth="1"/>
    <col min="6" max="6" width="12.625" style="48" customWidth="1"/>
    <col min="7" max="7" width="13.75390625" style="48" customWidth="1"/>
    <col min="8" max="8" width="14.625" style="48" customWidth="1"/>
    <col min="9" max="9" width="20.25390625" style="48" customWidth="1"/>
    <col min="10" max="16384" width="9.125" style="48" customWidth="1"/>
  </cols>
  <sheetData>
    <row r="1" spans="2:9" ht="18.75">
      <c r="B1" s="310" t="s">
        <v>102</v>
      </c>
      <c r="C1" s="310"/>
      <c r="D1" s="310"/>
      <c r="E1" s="310"/>
      <c r="F1" s="310"/>
      <c r="G1" s="310"/>
      <c r="H1" s="310"/>
      <c r="I1" s="310"/>
    </row>
    <row r="2" spans="2:9" ht="101.25" customHeight="1">
      <c r="B2" s="334" t="s">
        <v>113</v>
      </c>
      <c r="C2" s="334"/>
      <c r="D2" s="334"/>
      <c r="E2" s="334"/>
      <c r="F2" s="334"/>
      <c r="G2" s="334"/>
      <c r="H2" s="334"/>
      <c r="I2" s="334"/>
    </row>
    <row r="3" spans="2:9" ht="18.75">
      <c r="B3" s="310" t="s">
        <v>103</v>
      </c>
      <c r="C3" s="310"/>
      <c r="D3" s="310"/>
      <c r="E3" s="310"/>
      <c r="F3" s="310"/>
      <c r="G3" s="310"/>
      <c r="H3" s="310"/>
      <c r="I3" s="310"/>
    </row>
    <row r="4" spans="2:9" ht="18.75">
      <c r="B4" s="234" t="s">
        <v>114</v>
      </c>
      <c r="C4" s="234"/>
      <c r="D4" s="234"/>
      <c r="E4" s="234"/>
      <c r="F4" s="234"/>
      <c r="G4" s="234"/>
      <c r="H4" s="234"/>
      <c r="I4" s="234"/>
    </row>
    <row r="5" spans="2:9" ht="18.75">
      <c r="B5" s="234"/>
      <c r="C5" s="234"/>
      <c r="D5" s="234"/>
      <c r="E5" s="234"/>
      <c r="F5" s="234"/>
      <c r="G5" s="234"/>
      <c r="H5" s="234"/>
      <c r="I5" s="234"/>
    </row>
    <row r="6" ht="10.5" customHeight="1"/>
    <row r="7" spans="2:9" ht="18.75">
      <c r="B7" s="341" t="s">
        <v>104</v>
      </c>
      <c r="C7" s="342" t="s">
        <v>74</v>
      </c>
      <c r="D7" s="342" t="s">
        <v>105</v>
      </c>
      <c r="E7" s="342" t="s">
        <v>302</v>
      </c>
      <c r="F7" s="344" t="s">
        <v>106</v>
      </c>
      <c r="G7" s="344"/>
      <c r="H7" s="344"/>
      <c r="I7" s="345"/>
    </row>
    <row r="8" spans="2:9" ht="76.5" customHeight="1">
      <c r="B8" s="313"/>
      <c r="C8" s="343"/>
      <c r="D8" s="343"/>
      <c r="E8" s="343"/>
      <c r="F8" s="193" t="s">
        <v>107</v>
      </c>
      <c r="G8" s="74" t="s">
        <v>108</v>
      </c>
      <c r="H8" s="74" t="s">
        <v>262</v>
      </c>
      <c r="I8" s="49" t="s">
        <v>109</v>
      </c>
    </row>
    <row r="9" spans="2:9" ht="32.25" customHeight="1">
      <c r="B9" s="335">
        <v>1</v>
      </c>
      <c r="C9" s="348" t="s">
        <v>110</v>
      </c>
      <c r="D9" s="341" t="s">
        <v>390</v>
      </c>
      <c r="E9" s="49" t="s">
        <v>303</v>
      </c>
      <c r="F9" s="180">
        <f>F10+0.3</f>
        <v>10.67</v>
      </c>
      <c r="G9" s="180">
        <f>G10+0.3</f>
        <v>13.940000000000001</v>
      </c>
      <c r="H9" s="180">
        <f>H10+0.3</f>
        <v>18.79</v>
      </c>
      <c r="I9" s="180">
        <f>I10+0.3</f>
        <v>23.41</v>
      </c>
    </row>
    <row r="10" spans="2:9" ht="33.75" customHeight="1">
      <c r="B10" s="336"/>
      <c r="C10" s="349"/>
      <c r="D10" s="347"/>
      <c r="E10" s="49" t="s">
        <v>300</v>
      </c>
      <c r="F10" s="180">
        <v>10.37</v>
      </c>
      <c r="G10" s="180">
        <v>13.64</v>
      </c>
      <c r="H10" s="180">
        <v>18.49</v>
      </c>
      <c r="I10" s="180">
        <v>23.11</v>
      </c>
    </row>
    <row r="11" spans="2:9" ht="31.5" customHeight="1">
      <c r="B11" s="337"/>
      <c r="C11" s="350"/>
      <c r="D11" s="313"/>
      <c r="E11" s="49" t="s">
        <v>301</v>
      </c>
      <c r="F11" s="180">
        <f>F10-0.3</f>
        <v>10.069999999999999</v>
      </c>
      <c r="G11" s="180">
        <f>G10-0.3</f>
        <v>13.34</v>
      </c>
      <c r="H11" s="180">
        <f>H10-0.3</f>
        <v>18.189999999999998</v>
      </c>
      <c r="I11" s="180">
        <f>I10-0.3</f>
        <v>22.81</v>
      </c>
    </row>
    <row r="12" spans="2:9" ht="36" customHeight="1">
      <c r="B12" s="335">
        <v>2</v>
      </c>
      <c r="C12" s="338" t="s">
        <v>111</v>
      </c>
      <c r="D12" s="341" t="s">
        <v>391</v>
      </c>
      <c r="E12" s="49" t="s">
        <v>303</v>
      </c>
      <c r="F12" s="180">
        <f>F13+0.3</f>
        <v>11.690000000000001</v>
      </c>
      <c r="G12" s="180">
        <f>G13+0.3</f>
        <v>15.180000000000001</v>
      </c>
      <c r="H12" s="180">
        <f>H13+0.3</f>
        <v>19.92</v>
      </c>
      <c r="I12" s="180">
        <f>I13+0.3</f>
        <v>24.310000000000002</v>
      </c>
    </row>
    <row r="13" spans="2:9" ht="33" customHeight="1">
      <c r="B13" s="336"/>
      <c r="C13" s="339"/>
      <c r="D13" s="347"/>
      <c r="E13" s="49" t="s">
        <v>300</v>
      </c>
      <c r="F13" s="180">
        <v>11.39</v>
      </c>
      <c r="G13" s="180">
        <v>14.88</v>
      </c>
      <c r="H13" s="180">
        <v>19.62</v>
      </c>
      <c r="I13" s="180">
        <v>24.01</v>
      </c>
    </row>
    <row r="14" spans="2:9" ht="37.5" customHeight="1">
      <c r="B14" s="337"/>
      <c r="C14" s="340"/>
      <c r="D14" s="313"/>
      <c r="E14" s="49" t="s">
        <v>301</v>
      </c>
      <c r="F14" s="180">
        <f>F13-0.3</f>
        <v>11.09</v>
      </c>
      <c r="G14" s="180">
        <f>G13-0.3</f>
        <v>14.58</v>
      </c>
      <c r="H14" s="180">
        <f>H13-0.3</f>
        <v>19.32</v>
      </c>
      <c r="I14" s="180">
        <f>I13-0.3</f>
        <v>23.71</v>
      </c>
    </row>
    <row r="15" spans="2:9" ht="33.75" customHeight="1">
      <c r="B15" s="335">
        <v>3</v>
      </c>
      <c r="C15" s="338" t="s">
        <v>112</v>
      </c>
      <c r="D15" s="341" t="s">
        <v>390</v>
      </c>
      <c r="E15" s="49" t="s">
        <v>303</v>
      </c>
      <c r="F15" s="180">
        <f>F16+0.3</f>
        <v>10.33</v>
      </c>
      <c r="G15" s="180">
        <f>G16+0.3</f>
        <v>13.49</v>
      </c>
      <c r="H15" s="180">
        <f>H16+0.3</f>
        <v>17.89</v>
      </c>
      <c r="I15" s="180">
        <f>I16+0.3</f>
        <v>22.18</v>
      </c>
    </row>
    <row r="16" spans="2:9" ht="34.5" customHeight="1">
      <c r="B16" s="336"/>
      <c r="C16" s="339"/>
      <c r="D16" s="347"/>
      <c r="E16" s="49" t="s">
        <v>300</v>
      </c>
      <c r="F16" s="180">
        <v>10.03</v>
      </c>
      <c r="G16" s="180">
        <v>13.19</v>
      </c>
      <c r="H16" s="180">
        <v>17.59</v>
      </c>
      <c r="I16" s="180">
        <v>21.88</v>
      </c>
    </row>
    <row r="17" spans="2:9" ht="40.5" customHeight="1">
      <c r="B17" s="337"/>
      <c r="C17" s="340"/>
      <c r="D17" s="313"/>
      <c r="E17" s="49" t="s">
        <v>301</v>
      </c>
      <c r="F17" s="180">
        <f>F16-0.3</f>
        <v>9.729999999999999</v>
      </c>
      <c r="G17" s="180">
        <f>G16-0.3</f>
        <v>12.889999999999999</v>
      </c>
      <c r="H17" s="180">
        <f>H16-0.3</f>
        <v>17.29</v>
      </c>
      <c r="I17" s="180">
        <f>I16-0.3</f>
        <v>21.58</v>
      </c>
    </row>
    <row r="18" spans="2:9" ht="24" customHeight="1">
      <c r="B18" s="346"/>
      <c r="C18" s="346"/>
      <c r="D18" s="346"/>
      <c r="E18" s="346"/>
      <c r="F18" s="346"/>
      <c r="G18" s="346"/>
      <c r="H18" s="346"/>
      <c r="I18" s="346"/>
    </row>
    <row r="19" spans="2:9" ht="18.75">
      <c r="B19" s="233"/>
      <c r="C19" s="233"/>
      <c r="D19" s="233"/>
      <c r="E19" s="233"/>
      <c r="F19" s="233"/>
      <c r="G19" s="233"/>
      <c r="H19" s="233"/>
      <c r="I19" s="233"/>
    </row>
  </sheetData>
  <sheetProtection/>
  <mergeCells count="21">
    <mergeCell ref="B18:I18"/>
    <mergeCell ref="B19:I19"/>
    <mergeCell ref="E7:E8"/>
    <mergeCell ref="D9:D11"/>
    <mergeCell ref="D12:D14"/>
    <mergeCell ref="D15:D17"/>
    <mergeCell ref="B9:B11"/>
    <mergeCell ref="C9:C11"/>
    <mergeCell ref="B12:B14"/>
    <mergeCell ref="C12:C14"/>
    <mergeCell ref="B15:B17"/>
    <mergeCell ref="C15:C17"/>
    <mergeCell ref="B3:I3"/>
    <mergeCell ref="B4:I4"/>
    <mergeCell ref="B5:I5"/>
    <mergeCell ref="B7:B8"/>
    <mergeCell ref="C7:C8"/>
    <mergeCell ref="D7:D8"/>
    <mergeCell ref="F7:I7"/>
    <mergeCell ref="B1:I1"/>
    <mergeCell ref="B2:I2"/>
  </mergeCells>
  <printOptions/>
  <pageMargins left="0.2" right="0.2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6"/>
  <sheetViews>
    <sheetView view="pageBreakPreview" zoomScale="60" zoomScalePageLayoutView="0" workbookViewId="0" topLeftCell="A1">
      <selection activeCell="G21" sqref="G21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5.375" style="31" customWidth="1"/>
    <col min="4" max="4" width="31.125" style="31" customWidth="1"/>
    <col min="5" max="16384" width="9.125" style="31" customWidth="1"/>
  </cols>
  <sheetData>
    <row r="1" spans="2:8" ht="33" customHeight="1">
      <c r="B1" s="321" t="s">
        <v>127</v>
      </c>
      <c r="C1" s="321"/>
      <c r="D1" s="321"/>
      <c r="E1" s="42"/>
      <c r="F1" s="42"/>
      <c r="G1" s="42"/>
      <c r="H1" s="42"/>
    </row>
    <row r="3" spans="2:4" ht="49.5" customHeight="1">
      <c r="B3" s="33" t="s">
        <v>128</v>
      </c>
      <c r="C3" s="33" t="s">
        <v>129</v>
      </c>
      <c r="D3" s="38" t="s">
        <v>130</v>
      </c>
    </row>
    <row r="4" spans="2:4" ht="24" customHeight="1">
      <c r="B4" s="351" t="s">
        <v>392</v>
      </c>
      <c r="C4" s="43" t="s">
        <v>133</v>
      </c>
      <c r="D4" s="47">
        <v>2.2</v>
      </c>
    </row>
    <row r="5" spans="2:4" ht="36.75" customHeight="1">
      <c r="B5" s="351"/>
      <c r="C5" s="43" t="s">
        <v>134</v>
      </c>
      <c r="D5" s="47">
        <v>55</v>
      </c>
    </row>
    <row r="6" spans="2:3" ht="18.75">
      <c r="B6" s="44"/>
      <c r="C6" s="45"/>
    </row>
  </sheetData>
  <sheetProtection/>
  <mergeCells count="2">
    <mergeCell ref="B1:D1"/>
    <mergeCell ref="B4:B5"/>
  </mergeCells>
  <printOptions/>
  <pageMargins left="0.2" right="0.2" top="0.27" bottom="0.32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53"/>
  <sheetViews>
    <sheetView view="pageBreakPreview" zoomScale="110" zoomScaleNormal="130" zoomScaleSheetLayoutView="110" zoomScalePageLayoutView="0" workbookViewId="0" topLeftCell="A1">
      <selection activeCell="B39" sqref="B39:G39"/>
    </sheetView>
  </sheetViews>
  <sheetFormatPr defaultColWidth="9.00390625" defaultRowHeight="12.75"/>
  <cols>
    <col min="1" max="1" width="6.00390625" style="48" customWidth="1"/>
    <col min="2" max="2" width="9.625" style="48" customWidth="1"/>
    <col min="3" max="3" width="12.75390625" style="48" customWidth="1"/>
    <col min="4" max="4" width="15.00390625" style="48" customWidth="1"/>
    <col min="5" max="5" width="17.75390625" style="48" customWidth="1"/>
    <col min="6" max="6" width="15.00390625" style="48" customWidth="1"/>
    <col min="7" max="7" width="24.875" style="48" customWidth="1"/>
    <col min="8" max="8" width="6.625" style="48" customWidth="1"/>
    <col min="9" max="9" width="9.00390625" style="48" customWidth="1"/>
    <col min="10" max="16384" width="9.125" style="48" customWidth="1"/>
  </cols>
  <sheetData>
    <row r="1" spans="1:8" s="78" customFormat="1" ht="21" customHeight="1">
      <c r="A1" s="27"/>
      <c r="B1" s="271" t="s">
        <v>138</v>
      </c>
      <c r="C1" s="271"/>
      <c r="D1" s="271"/>
      <c r="E1" s="271"/>
      <c r="F1" s="271"/>
      <c r="G1" s="271"/>
      <c r="H1" s="28"/>
    </row>
    <row r="2" spans="1:8" s="81" customFormat="1" ht="21" customHeight="1">
      <c r="A2" s="79"/>
      <c r="B2" s="272" t="s">
        <v>86</v>
      </c>
      <c r="C2" s="272"/>
      <c r="D2" s="272"/>
      <c r="E2" s="272"/>
      <c r="F2" s="272"/>
      <c r="G2" s="272"/>
      <c r="H2" s="80"/>
    </row>
    <row r="3" spans="1:8" s="78" customFormat="1" ht="21" customHeight="1">
      <c r="A3" s="82"/>
      <c r="B3" s="273" t="s">
        <v>90</v>
      </c>
      <c r="C3" s="273"/>
      <c r="D3" s="273"/>
      <c r="E3" s="273"/>
      <c r="F3" s="273"/>
      <c r="G3" s="273"/>
      <c r="H3" s="30"/>
    </row>
    <row r="4" spans="1:8" s="78" customFormat="1" ht="21" customHeight="1" thickBot="1">
      <c r="A4" s="82"/>
      <c r="B4" s="277" t="s">
        <v>89</v>
      </c>
      <c r="C4" s="277"/>
      <c r="D4" s="277"/>
      <c r="E4" s="270"/>
      <c r="F4" s="270"/>
      <c r="G4" s="270"/>
      <c r="H4" s="83"/>
    </row>
    <row r="5" spans="1:8" ht="41.25" customHeight="1">
      <c r="A5" s="84"/>
      <c r="B5" s="255" t="s">
        <v>3</v>
      </c>
      <c r="C5" s="264" t="s">
        <v>147</v>
      </c>
      <c r="D5" s="265" t="s">
        <v>4</v>
      </c>
      <c r="E5" s="274" t="s">
        <v>259</v>
      </c>
      <c r="F5" s="275"/>
      <c r="G5" s="276"/>
      <c r="H5" s="71"/>
    </row>
    <row r="6" spans="1:8" s="87" customFormat="1" ht="39.75" customHeight="1" thickBot="1">
      <c r="A6" s="85"/>
      <c r="B6" s="256"/>
      <c r="C6" s="261"/>
      <c r="D6" s="266"/>
      <c r="E6" s="143" t="s">
        <v>91</v>
      </c>
      <c r="F6" s="143" t="s">
        <v>92</v>
      </c>
      <c r="G6" s="144" t="s">
        <v>93</v>
      </c>
      <c r="H6" s="86"/>
    </row>
    <row r="7" spans="2:8" s="88" customFormat="1" ht="18.75" customHeight="1">
      <c r="B7" s="269" t="s">
        <v>2</v>
      </c>
      <c r="C7" s="269"/>
      <c r="D7" s="269"/>
      <c r="E7" s="270"/>
      <c r="F7" s="270"/>
      <c r="G7" s="270"/>
      <c r="H7" s="89"/>
    </row>
    <row r="8" spans="2:8" s="88" customFormat="1" ht="68.25" customHeight="1" thickBot="1">
      <c r="B8" s="268" t="s">
        <v>139</v>
      </c>
      <c r="C8" s="268"/>
      <c r="D8" s="268"/>
      <c r="E8" s="268"/>
      <c r="F8" s="268"/>
      <c r="G8" s="268"/>
      <c r="H8" s="89"/>
    </row>
    <row r="9" spans="2:8" ht="18.75">
      <c r="B9" s="258" t="s">
        <v>39</v>
      </c>
      <c r="C9" s="237" t="s">
        <v>16</v>
      </c>
      <c r="D9" s="90">
        <v>1</v>
      </c>
      <c r="E9" s="92">
        <f>(27.1*2.5%)+27.1</f>
        <v>27.7775</v>
      </c>
      <c r="F9" s="93">
        <f>(43.2*2.5%)+43.2</f>
        <v>44.28</v>
      </c>
      <c r="G9" s="94">
        <f>(67.8*2.5%)+67.8</f>
        <v>69.49499999999999</v>
      </c>
      <c r="H9" s="95"/>
    </row>
    <row r="10" spans="2:8" ht="18.75">
      <c r="B10" s="259"/>
      <c r="C10" s="249"/>
      <c r="D10" s="96">
        <v>2</v>
      </c>
      <c r="E10" s="97">
        <f>(22.6*2.5%)+22.6</f>
        <v>23.165000000000003</v>
      </c>
      <c r="F10" s="98">
        <f>(36*2.5%)+36</f>
        <v>36.9</v>
      </c>
      <c r="G10" s="99">
        <f>(56.5*2.5%)+56.5</f>
        <v>57.9125</v>
      </c>
      <c r="H10" s="100"/>
    </row>
    <row r="11" spans="2:8" ht="18.75">
      <c r="B11" s="259"/>
      <c r="C11" s="250"/>
      <c r="D11" s="101">
        <v>3</v>
      </c>
      <c r="E11" s="102">
        <f>(18.1*2.5%)+18.1</f>
        <v>18.552500000000002</v>
      </c>
      <c r="F11" s="103">
        <f>(28.8*2.5%)+28.8</f>
        <v>29.52</v>
      </c>
      <c r="G11" s="104">
        <f>(45.2*2.5%)+45.2</f>
        <v>46.330000000000005</v>
      </c>
      <c r="H11" s="95"/>
    </row>
    <row r="12" spans="2:8" ht="18.75">
      <c r="B12" s="259"/>
      <c r="C12" s="248" t="s">
        <v>18</v>
      </c>
      <c r="D12" s="105">
        <v>1</v>
      </c>
      <c r="E12" s="106">
        <f>(34.9*2.5%)+34.9</f>
        <v>35.7725</v>
      </c>
      <c r="F12" s="107">
        <f>(54*2.5%)+54</f>
        <v>55.35</v>
      </c>
      <c r="G12" s="108">
        <f>(80.4*2.5%)+80.4</f>
        <v>82.41000000000001</v>
      </c>
      <c r="H12" s="95"/>
    </row>
    <row r="13" spans="2:8" ht="18.75">
      <c r="B13" s="259"/>
      <c r="C13" s="249"/>
      <c r="D13" s="105">
        <v>2</v>
      </c>
      <c r="E13" s="97">
        <f>(29.1*2.5%)+29.1</f>
        <v>29.8275</v>
      </c>
      <c r="F13" s="98">
        <f>(45*2.5%)+45</f>
        <v>46.125</v>
      </c>
      <c r="G13" s="99">
        <f>(67*2.5%)+67</f>
        <v>68.675</v>
      </c>
      <c r="H13" s="100"/>
    </row>
    <row r="14" spans="2:8" ht="18.75">
      <c r="B14" s="259"/>
      <c r="C14" s="250"/>
      <c r="D14" s="109">
        <v>3</v>
      </c>
      <c r="E14" s="102">
        <f>(23.3*2.5%)+23.3</f>
        <v>23.8825</v>
      </c>
      <c r="F14" s="103">
        <f>(36*2.5%)+36</f>
        <v>36.9</v>
      </c>
      <c r="G14" s="104">
        <f>(53.6*2.5%)+53.6</f>
        <v>54.940000000000005</v>
      </c>
      <c r="H14" s="95"/>
    </row>
    <row r="15" spans="2:8" ht="18.75">
      <c r="B15" s="259"/>
      <c r="C15" s="248" t="s">
        <v>19</v>
      </c>
      <c r="D15" s="105">
        <v>1</v>
      </c>
      <c r="E15" s="106">
        <f>(45.4*2.5%)+45.4</f>
        <v>46.535</v>
      </c>
      <c r="F15" s="107">
        <f>(69.8*2.5%)+69.8</f>
        <v>71.545</v>
      </c>
      <c r="G15" s="108">
        <f>(104.4*2.5%)+104.4</f>
        <v>107.01</v>
      </c>
      <c r="H15" s="95"/>
    </row>
    <row r="16" spans="2:8" ht="18.75">
      <c r="B16" s="259"/>
      <c r="C16" s="249"/>
      <c r="D16" s="105">
        <v>2</v>
      </c>
      <c r="E16" s="97">
        <f>(37.8*2.5%)+37.8</f>
        <v>38.745</v>
      </c>
      <c r="F16" s="98">
        <f>(58.2*2.5%)+58.2</f>
        <v>59.655</v>
      </c>
      <c r="G16" s="99">
        <f>(87*2.5%)+87</f>
        <v>89.175</v>
      </c>
      <c r="H16" s="100"/>
    </row>
    <row r="17" spans="2:8" ht="18.75">
      <c r="B17" s="259"/>
      <c r="C17" s="250"/>
      <c r="D17" s="109">
        <v>3</v>
      </c>
      <c r="E17" s="102">
        <f>(30.2*2.5%)+30.2</f>
        <v>30.955</v>
      </c>
      <c r="F17" s="103">
        <f>(46.6*2.5%)+46.6</f>
        <v>47.765</v>
      </c>
      <c r="G17" s="104">
        <f>(69.9*2.5%)+69.9</f>
        <v>71.64750000000001</v>
      </c>
      <c r="H17" s="95"/>
    </row>
    <row r="18" spans="2:8" ht="18.75">
      <c r="B18" s="259"/>
      <c r="C18" s="240" t="s">
        <v>13</v>
      </c>
      <c r="D18" s="105">
        <v>1</v>
      </c>
      <c r="E18" s="106">
        <f>(60.1*2.5%)+60.1</f>
        <v>61.6025</v>
      </c>
      <c r="F18" s="107">
        <f>(89.4*2.5%)+89.4</f>
        <v>91.635</v>
      </c>
      <c r="G18" s="108">
        <f>(128.4*2.5%)+128.4</f>
        <v>131.61</v>
      </c>
      <c r="H18" s="95"/>
    </row>
    <row r="19" spans="2:8" ht="18.75">
      <c r="B19" s="259"/>
      <c r="C19" s="241"/>
      <c r="D19" s="105">
        <v>2</v>
      </c>
      <c r="E19" s="97">
        <f>(50.1*2.5%)+50.1</f>
        <v>51.3525</v>
      </c>
      <c r="F19" s="98">
        <f>(74.5*2.5%)+74.5</f>
        <v>76.3625</v>
      </c>
      <c r="G19" s="99">
        <f>(107*2.5%)+107</f>
        <v>109.675</v>
      </c>
      <c r="H19" s="100"/>
    </row>
    <row r="20" spans="2:8" ht="19.5" thickBot="1">
      <c r="B20" s="260"/>
      <c r="C20" s="242"/>
      <c r="D20" s="110">
        <v>3</v>
      </c>
      <c r="E20" s="111">
        <f>(40.1*2.5%)+40.1</f>
        <v>41.1025</v>
      </c>
      <c r="F20" s="112">
        <f>(59.6*2.5%)+59.6</f>
        <v>61.09</v>
      </c>
      <c r="G20" s="113">
        <f>(85.6*2.5%)+85.6</f>
        <v>87.74</v>
      </c>
      <c r="H20" s="95"/>
    </row>
    <row r="21" spans="1:8" ht="19.5">
      <c r="A21" s="114"/>
      <c r="B21" s="254" t="s">
        <v>140</v>
      </c>
      <c r="C21" s="254"/>
      <c r="D21" s="254"/>
      <c r="E21" s="254"/>
      <c r="F21" s="254"/>
      <c r="G21" s="254"/>
      <c r="H21" s="115"/>
    </row>
    <row r="22" spans="1:8" ht="20.25" thickBot="1">
      <c r="A22" s="114"/>
      <c r="B22" s="239" t="s">
        <v>27</v>
      </c>
      <c r="C22" s="239"/>
      <c r="D22" s="239"/>
      <c r="E22" s="239"/>
      <c r="F22" s="239"/>
      <c r="G22" s="239"/>
      <c r="H22" s="115"/>
    </row>
    <row r="23" spans="2:8" ht="18.75">
      <c r="B23" s="235" t="s">
        <v>28</v>
      </c>
      <c r="C23" s="243" t="s">
        <v>13</v>
      </c>
      <c r="D23" s="116" t="s">
        <v>22</v>
      </c>
      <c r="E23" s="93">
        <f>(65.3*2.5%)+65.3</f>
        <v>66.93249999999999</v>
      </c>
      <c r="F23" s="117">
        <f>(78.7*2.5%)+78.7</f>
        <v>80.6675</v>
      </c>
      <c r="G23" s="118">
        <f>(110.4*2.5%)+110.4</f>
        <v>113.16000000000001</v>
      </c>
      <c r="H23" s="95"/>
    </row>
    <row r="24" spans="2:8" ht="18.75">
      <c r="B24" s="257"/>
      <c r="C24" s="241"/>
      <c r="D24" s="119" t="s">
        <v>23</v>
      </c>
      <c r="E24" s="98">
        <f>(54.4*2.5%)+54.4</f>
        <v>55.76</v>
      </c>
      <c r="F24" s="120">
        <f>(65.6*2.5%)+65.6</f>
        <v>67.24</v>
      </c>
      <c r="G24" s="121">
        <f>(92*2.5%)+92</f>
        <v>94.3</v>
      </c>
      <c r="H24" s="100"/>
    </row>
    <row r="25" spans="2:8" ht="19.5" thickBot="1">
      <c r="B25" s="236"/>
      <c r="C25" s="242"/>
      <c r="D25" s="122" t="s">
        <v>29</v>
      </c>
      <c r="E25" s="112">
        <f>(43.5*2.5%)+43.5</f>
        <v>44.5875</v>
      </c>
      <c r="F25" s="123">
        <f>(52.5*2.5%)+52.5</f>
        <v>53.8125</v>
      </c>
      <c r="G25" s="124">
        <f>(73.6*2.5%)+73.6</f>
        <v>75.44</v>
      </c>
      <c r="H25" s="95"/>
    </row>
    <row r="26" spans="1:8" ht="19.5">
      <c r="A26" s="125"/>
      <c r="B26" s="254" t="s">
        <v>141</v>
      </c>
      <c r="C26" s="254"/>
      <c r="D26" s="254"/>
      <c r="E26" s="254"/>
      <c r="F26" s="254"/>
      <c r="G26" s="254"/>
      <c r="H26" s="55"/>
    </row>
    <row r="27" spans="1:8" ht="19.5">
      <c r="A27" s="114"/>
      <c r="B27" s="239" t="s">
        <v>94</v>
      </c>
      <c r="C27" s="239"/>
      <c r="D27" s="239"/>
      <c r="E27" s="239"/>
      <c r="F27" s="239"/>
      <c r="G27" s="239"/>
      <c r="H27" s="115"/>
    </row>
    <row r="28" spans="2:8" ht="18.75">
      <c r="B28" s="251" t="s">
        <v>8</v>
      </c>
      <c r="C28" s="248" t="s">
        <v>32</v>
      </c>
      <c r="D28" s="145" t="s">
        <v>22</v>
      </c>
      <c r="E28" s="107">
        <f>(26*2.5%)+26</f>
        <v>26.65</v>
      </c>
      <c r="F28" s="126">
        <f>(40.2*2.5%)+40.2</f>
        <v>41.205000000000005</v>
      </c>
      <c r="G28" s="146">
        <f>(56.4*2.5%)+56.4</f>
        <v>57.81</v>
      </c>
      <c r="H28" s="95"/>
    </row>
    <row r="29" spans="2:8" ht="18.75">
      <c r="B29" s="252"/>
      <c r="C29" s="249"/>
      <c r="D29" s="119" t="s">
        <v>23</v>
      </c>
      <c r="E29" s="98">
        <f>(21.7*2.5%)+21.7</f>
        <v>22.2425</v>
      </c>
      <c r="F29" s="120">
        <f>(33.5*2.5%)+33.5</f>
        <v>34.3375</v>
      </c>
      <c r="G29" s="147">
        <f>(47*2.5%)+47</f>
        <v>48.175</v>
      </c>
      <c r="H29" s="100"/>
    </row>
    <row r="30" spans="2:8" ht="18.75">
      <c r="B30" s="253"/>
      <c r="C30" s="250"/>
      <c r="D30" s="148" t="s">
        <v>29</v>
      </c>
      <c r="E30" s="103">
        <f>(17.4*2.5%)+17.4</f>
        <v>17.834999999999997</v>
      </c>
      <c r="F30" s="128">
        <f>(26.8*2.5%)+26.8</f>
        <v>27.470000000000002</v>
      </c>
      <c r="G30" s="149">
        <f>(37.6*2.5%)+37.6</f>
        <v>38.54</v>
      </c>
      <c r="H30" s="95"/>
    </row>
    <row r="31" spans="2:8" ht="18.75">
      <c r="B31" s="89"/>
      <c r="C31" s="141"/>
      <c r="D31" s="141"/>
      <c r="E31" s="97"/>
      <c r="F31" s="97"/>
      <c r="G31" s="97"/>
      <c r="H31" s="95"/>
    </row>
    <row r="32" spans="1:8" ht="41.25" customHeight="1">
      <c r="A32" s="84"/>
      <c r="B32" s="261" t="s">
        <v>3</v>
      </c>
      <c r="C32" s="261" t="s">
        <v>147</v>
      </c>
      <c r="D32" s="266" t="s">
        <v>4</v>
      </c>
      <c r="E32" s="274" t="s">
        <v>259</v>
      </c>
      <c r="F32" s="275"/>
      <c r="G32" s="276"/>
      <c r="H32" s="71"/>
    </row>
    <row r="33" spans="1:8" s="87" customFormat="1" ht="21.75" customHeight="1">
      <c r="A33" s="85"/>
      <c r="B33" s="261"/>
      <c r="C33" s="261"/>
      <c r="D33" s="267"/>
      <c r="E33" s="142" t="s">
        <v>91</v>
      </c>
      <c r="F33" s="143" t="s">
        <v>92</v>
      </c>
      <c r="G33" s="144" t="s">
        <v>93</v>
      </c>
      <c r="H33" s="86"/>
    </row>
    <row r="34" spans="1:8" ht="19.5">
      <c r="A34" s="125"/>
      <c r="B34" s="239" t="s">
        <v>142</v>
      </c>
      <c r="C34" s="239"/>
      <c r="D34" s="239"/>
      <c r="E34" s="239"/>
      <c r="F34" s="239"/>
      <c r="G34" s="239"/>
      <c r="H34" s="55"/>
    </row>
    <row r="35" spans="1:8" ht="20.25" thickBot="1">
      <c r="A35" s="114"/>
      <c r="B35" s="278" t="s">
        <v>95</v>
      </c>
      <c r="C35" s="278"/>
      <c r="D35" s="278"/>
      <c r="E35" s="278"/>
      <c r="F35" s="278"/>
      <c r="G35" s="278"/>
      <c r="H35" s="115"/>
    </row>
    <row r="36" spans="2:8" ht="18.75">
      <c r="B36" s="235" t="s">
        <v>84</v>
      </c>
      <c r="C36" s="243" t="s">
        <v>150</v>
      </c>
      <c r="D36" s="116" t="s">
        <v>22</v>
      </c>
      <c r="E36" s="93">
        <f>(62.8*2.5%)+62.8</f>
        <v>64.36999999999999</v>
      </c>
      <c r="F36" s="117">
        <f>(83.5*2.5%)+83.5</f>
        <v>85.5875</v>
      </c>
      <c r="G36" s="118">
        <f>(117.4*2.5%)+117.4</f>
        <v>120.33500000000001</v>
      </c>
      <c r="H36" s="95"/>
    </row>
    <row r="37" spans="2:8" ht="42.75" customHeight="1" thickBot="1">
      <c r="B37" s="236"/>
      <c r="C37" s="242"/>
      <c r="D37" s="122" t="s">
        <v>23</v>
      </c>
      <c r="E37" s="112">
        <f>(52.3*2.5%)+52.3</f>
        <v>53.607499999999995</v>
      </c>
      <c r="F37" s="123">
        <f>(69.6*2.5%)+69.6</f>
        <v>71.33999999999999</v>
      </c>
      <c r="G37" s="124">
        <f>(97.8*2.5%)+97.8</f>
        <v>100.245</v>
      </c>
      <c r="H37" s="100"/>
    </row>
    <row r="38" spans="1:8" ht="40.5" customHeight="1">
      <c r="A38" s="125"/>
      <c r="B38" s="269" t="s">
        <v>143</v>
      </c>
      <c r="C38" s="269"/>
      <c r="D38" s="269"/>
      <c r="E38" s="269"/>
      <c r="F38" s="269"/>
      <c r="G38" s="269"/>
      <c r="H38" s="55"/>
    </row>
    <row r="39" spans="1:8" ht="20.25" thickBot="1">
      <c r="A39" s="114"/>
      <c r="B39" s="278" t="s">
        <v>27</v>
      </c>
      <c r="C39" s="278"/>
      <c r="D39" s="278"/>
      <c r="E39" s="278"/>
      <c r="F39" s="278"/>
      <c r="G39" s="278"/>
      <c r="H39" s="115"/>
    </row>
    <row r="40" spans="2:8" ht="27" customHeight="1">
      <c r="B40" s="235" t="s">
        <v>37</v>
      </c>
      <c r="C40" s="237" t="s">
        <v>38</v>
      </c>
      <c r="D40" s="129" t="s">
        <v>23</v>
      </c>
      <c r="E40" s="244">
        <f>(16*2.5%)+16</f>
        <v>16.4</v>
      </c>
      <c r="F40" s="244">
        <f>(30.3*2.5%)+30.3</f>
        <v>31.0575</v>
      </c>
      <c r="G40" s="246">
        <f>(48*2.5%)+48</f>
        <v>49.2</v>
      </c>
      <c r="H40" s="130"/>
    </row>
    <row r="41" spans="2:8" ht="27" customHeight="1" thickBot="1">
      <c r="B41" s="236"/>
      <c r="C41" s="238"/>
      <c r="D41" s="131" t="s">
        <v>29</v>
      </c>
      <c r="E41" s="245"/>
      <c r="F41" s="245"/>
      <c r="G41" s="247"/>
      <c r="H41" s="130"/>
    </row>
    <row r="42" spans="1:8" ht="18.75">
      <c r="A42" s="125"/>
      <c r="B42" s="254" t="s">
        <v>41</v>
      </c>
      <c r="C42" s="254"/>
      <c r="D42" s="254"/>
      <c r="E42" s="254"/>
      <c r="F42" s="254"/>
      <c r="G42" s="254"/>
      <c r="H42" s="55"/>
    </row>
    <row r="43" spans="1:8" ht="38.25" customHeight="1" thickBot="1">
      <c r="A43" s="114"/>
      <c r="B43" s="277" t="s">
        <v>144</v>
      </c>
      <c r="C43" s="277"/>
      <c r="D43" s="277"/>
      <c r="E43" s="277"/>
      <c r="F43" s="277"/>
      <c r="G43" s="277"/>
      <c r="H43" s="115"/>
    </row>
    <row r="44" spans="2:8" ht="18.75">
      <c r="B44" s="235" t="s">
        <v>39</v>
      </c>
      <c r="C44" s="262" t="s">
        <v>40</v>
      </c>
      <c r="D44" s="90" t="s">
        <v>23</v>
      </c>
      <c r="E44" s="93">
        <f>(19.1*2.5%)+19.1</f>
        <v>19.5775</v>
      </c>
      <c r="F44" s="117">
        <f>(31*2.5%)+31</f>
        <v>31.775</v>
      </c>
      <c r="G44" s="118">
        <f>(48.1*2.5%)+48.1</f>
        <v>49.3025</v>
      </c>
      <c r="H44" s="100"/>
    </row>
    <row r="45" spans="2:8" ht="19.5" thickBot="1">
      <c r="B45" s="236"/>
      <c r="C45" s="263"/>
      <c r="D45" s="127" t="s">
        <v>29</v>
      </c>
      <c r="E45" s="132">
        <f>(15.3*2.5%)+15.3</f>
        <v>15.682500000000001</v>
      </c>
      <c r="F45" s="133">
        <f>(24.8*2.5%)+24.8</f>
        <v>25.42</v>
      </c>
      <c r="G45" s="134">
        <f>(38.5*2.5%)+38.5</f>
        <v>39.4625</v>
      </c>
      <c r="H45" s="95"/>
    </row>
    <row r="46" spans="1:8" ht="19.5">
      <c r="A46" s="125"/>
      <c r="B46" s="254" t="s">
        <v>145</v>
      </c>
      <c r="C46" s="254"/>
      <c r="D46" s="254"/>
      <c r="E46" s="254"/>
      <c r="F46" s="254"/>
      <c r="G46" s="254"/>
      <c r="H46" s="55"/>
    </row>
    <row r="47" spans="1:8" ht="20.25" thickBot="1">
      <c r="A47" s="114"/>
      <c r="B47" s="239" t="s">
        <v>100</v>
      </c>
      <c r="C47" s="239"/>
      <c r="D47" s="239"/>
      <c r="E47" s="239"/>
      <c r="F47" s="239"/>
      <c r="G47" s="239"/>
      <c r="H47" s="115"/>
    </row>
    <row r="48" spans="2:8" ht="51" customHeight="1" thickBot="1">
      <c r="B48" s="72" t="s">
        <v>81</v>
      </c>
      <c r="C48" s="135" t="s">
        <v>82</v>
      </c>
      <c r="D48" s="136"/>
      <c r="E48" s="137">
        <f>(13.2*2.5%)+13.2</f>
        <v>13.53</v>
      </c>
      <c r="F48" s="138">
        <f>(28.5*2.5%)+28.5</f>
        <v>29.2125</v>
      </c>
      <c r="G48" s="139">
        <f>(48*2.5%)+48</f>
        <v>49.2</v>
      </c>
      <c r="H48" s="130"/>
    </row>
    <row r="49" ht="18.75">
      <c r="G49" s="56"/>
    </row>
    <row r="50" spans="5:6" ht="18.75">
      <c r="E50" s="140"/>
      <c r="F50" s="140"/>
    </row>
    <row r="53" ht="18.75">
      <c r="G53" s="140"/>
    </row>
  </sheetData>
  <sheetProtection/>
  <mergeCells count="44">
    <mergeCell ref="B44:B45"/>
    <mergeCell ref="B4:G4"/>
    <mergeCell ref="B47:G47"/>
    <mergeCell ref="B35:G35"/>
    <mergeCell ref="B38:G38"/>
    <mergeCell ref="B39:G39"/>
    <mergeCell ref="B42:G42"/>
    <mergeCell ref="B43:G43"/>
    <mergeCell ref="B46:G46"/>
    <mergeCell ref="E32:G32"/>
    <mergeCell ref="B22:G22"/>
    <mergeCell ref="B8:G8"/>
    <mergeCell ref="B7:G7"/>
    <mergeCell ref="B21:G21"/>
    <mergeCell ref="B1:G1"/>
    <mergeCell ref="B2:G2"/>
    <mergeCell ref="B3:G3"/>
    <mergeCell ref="E5:G5"/>
    <mergeCell ref="C44:C45"/>
    <mergeCell ref="C9:C11"/>
    <mergeCell ref="C12:C14"/>
    <mergeCell ref="C15:C17"/>
    <mergeCell ref="C5:C6"/>
    <mergeCell ref="D5:D6"/>
    <mergeCell ref="C36:C37"/>
    <mergeCell ref="D32:D33"/>
    <mergeCell ref="G40:G41"/>
    <mergeCell ref="C28:C30"/>
    <mergeCell ref="F40:F41"/>
    <mergeCell ref="B28:B30"/>
    <mergeCell ref="B26:G26"/>
    <mergeCell ref="B5:B6"/>
    <mergeCell ref="B23:B25"/>
    <mergeCell ref="B9:B20"/>
    <mergeCell ref="B32:B33"/>
    <mergeCell ref="C32:C33"/>
    <mergeCell ref="B36:B37"/>
    <mergeCell ref="B40:B41"/>
    <mergeCell ref="C40:C41"/>
    <mergeCell ref="B27:G27"/>
    <mergeCell ref="B34:G34"/>
    <mergeCell ref="C18:C20"/>
    <mergeCell ref="C23:C25"/>
    <mergeCell ref="E40:E41"/>
  </mergeCells>
  <printOptions/>
  <pageMargins left="0.15748031496062992" right="0.15748031496062992" top="0.2362204724409449" bottom="0.1968503937007874" header="0.2362204724409449" footer="0.15748031496062992"/>
  <pageSetup horizontalDpi="600" verticalDpi="600" orientation="portrait" paperSize="9" r:id="rId1"/>
  <rowBreaks count="2" manualBreakCount="2">
    <brk id="31" max="6" man="1"/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58"/>
  <sheetViews>
    <sheetView view="pageBreakPreview" zoomScale="80" zoomScaleNormal="150" zoomScaleSheetLayoutView="80" zoomScalePageLayoutView="0" workbookViewId="0" topLeftCell="A31">
      <selection activeCell="O18" sqref="O18"/>
    </sheetView>
  </sheetViews>
  <sheetFormatPr defaultColWidth="9.00390625" defaultRowHeight="12.75"/>
  <cols>
    <col min="1" max="1" width="4.75390625" style="48" customWidth="1"/>
    <col min="2" max="2" width="14.125" style="48" customWidth="1"/>
    <col min="3" max="3" width="13.625" style="48" customWidth="1"/>
    <col min="4" max="4" width="10.00390625" style="48" customWidth="1"/>
    <col min="5" max="6" width="13.875" style="48" customWidth="1"/>
    <col min="7" max="7" width="25.125" style="48" customWidth="1"/>
    <col min="8" max="8" width="4.875" style="48" customWidth="1"/>
    <col min="9" max="16384" width="9.125" style="48" customWidth="1"/>
  </cols>
  <sheetData>
    <row r="1" spans="1:8" ht="48.75" customHeight="1">
      <c r="A1" s="152"/>
      <c r="B1" s="293" t="s">
        <v>87</v>
      </c>
      <c r="C1" s="293"/>
      <c r="D1" s="293"/>
      <c r="E1" s="293"/>
      <c r="F1" s="293"/>
      <c r="G1" s="293"/>
      <c r="H1" s="29"/>
    </row>
    <row r="2" spans="1:8" ht="21" customHeight="1" thickBot="1">
      <c r="A2" s="84"/>
      <c r="B2" s="270" t="s">
        <v>10</v>
      </c>
      <c r="C2" s="270"/>
      <c r="D2" s="270"/>
      <c r="E2" s="270"/>
      <c r="F2" s="270"/>
      <c r="G2" s="270"/>
      <c r="H2" s="83"/>
    </row>
    <row r="3" spans="1:8" ht="19.5" customHeight="1">
      <c r="A3" s="125"/>
      <c r="B3" s="279" t="s">
        <v>3</v>
      </c>
      <c r="C3" s="281" t="s">
        <v>5</v>
      </c>
      <c r="D3" s="281" t="s">
        <v>4</v>
      </c>
      <c r="E3" s="283" t="s">
        <v>259</v>
      </c>
      <c r="F3" s="283"/>
      <c r="G3" s="284"/>
      <c r="H3" s="76"/>
    </row>
    <row r="4" spans="1:8" ht="35.25" customHeight="1" thickBot="1">
      <c r="A4" s="125"/>
      <c r="B4" s="280"/>
      <c r="C4" s="282"/>
      <c r="D4" s="282"/>
      <c r="E4" s="165" t="s">
        <v>91</v>
      </c>
      <c r="F4" s="166" t="s">
        <v>92</v>
      </c>
      <c r="G4" s="167" t="s">
        <v>93</v>
      </c>
      <c r="H4" s="76"/>
    </row>
    <row r="5" spans="2:8" ht="23.25" customHeight="1">
      <c r="B5" s="285" t="s">
        <v>2</v>
      </c>
      <c r="C5" s="285"/>
      <c r="D5" s="285"/>
      <c r="E5" s="285"/>
      <c r="F5" s="285"/>
      <c r="G5" s="285"/>
      <c r="H5" s="89"/>
    </row>
    <row r="6" spans="2:8" ht="40.5" customHeight="1">
      <c r="B6" s="270" t="s">
        <v>96</v>
      </c>
      <c r="C6" s="270"/>
      <c r="D6" s="270"/>
      <c r="E6" s="270"/>
      <c r="F6" s="270"/>
      <c r="G6" s="270"/>
      <c r="H6" s="89"/>
    </row>
    <row r="7" spans="1:8" ht="21.75" customHeight="1" thickBot="1">
      <c r="A7" s="75"/>
      <c r="B7" s="239" t="s">
        <v>43</v>
      </c>
      <c r="C7" s="239"/>
      <c r="D7" s="239"/>
      <c r="E7" s="239"/>
      <c r="F7" s="239"/>
      <c r="G7" s="239"/>
      <c r="H7" s="115"/>
    </row>
    <row r="8" spans="2:8" ht="18.75">
      <c r="B8" s="258" t="s">
        <v>8</v>
      </c>
      <c r="C8" s="237" t="s">
        <v>16</v>
      </c>
      <c r="D8" s="116">
        <v>1</v>
      </c>
      <c r="E8" s="93">
        <f>(21.7*2.5%)+21.7</f>
        <v>22.2425</v>
      </c>
      <c r="F8" s="93">
        <f>(38.3*2.5%)+38.3</f>
        <v>39.2575</v>
      </c>
      <c r="G8" s="94">
        <f>(57.8*2.5%)+57.8</f>
        <v>59.245</v>
      </c>
      <c r="H8" s="95"/>
    </row>
    <row r="9" spans="2:8" ht="18.75">
      <c r="B9" s="259"/>
      <c r="C9" s="249"/>
      <c r="D9" s="119">
        <v>2</v>
      </c>
      <c r="E9" s="98">
        <f>(18.1*2.5%)+18.1</f>
        <v>18.552500000000002</v>
      </c>
      <c r="F9" s="98">
        <f>(31.9*2.5%)+31.9</f>
        <v>32.6975</v>
      </c>
      <c r="G9" s="99">
        <f>(48.2*2.5%)+48.2</f>
        <v>49.405</v>
      </c>
      <c r="H9" s="100"/>
    </row>
    <row r="10" spans="2:8" ht="18.75">
      <c r="B10" s="259"/>
      <c r="C10" s="250"/>
      <c r="D10" s="148">
        <v>3</v>
      </c>
      <c r="E10" s="103">
        <f>(14.5*2.5%)+14.5</f>
        <v>14.8625</v>
      </c>
      <c r="F10" s="103">
        <f>(25.5*2.5%)+25.5</f>
        <v>26.1375</v>
      </c>
      <c r="G10" s="104">
        <f>(38.6*2.5%)+38.6</f>
        <v>39.565000000000005</v>
      </c>
      <c r="H10" s="95"/>
    </row>
    <row r="11" spans="2:8" ht="18.75">
      <c r="B11" s="259"/>
      <c r="C11" s="248" t="s">
        <v>17</v>
      </c>
      <c r="D11" s="119">
        <v>1</v>
      </c>
      <c r="E11" s="107">
        <f>(24.7*2.5%)+24.7</f>
        <v>25.3175</v>
      </c>
      <c r="F11" s="107">
        <f>(41*2.5%)+41</f>
        <v>42.025</v>
      </c>
      <c r="G11" s="108">
        <f>(64*2.5%)+64</f>
        <v>65.6</v>
      </c>
      <c r="H11" s="95"/>
    </row>
    <row r="12" spans="2:8" ht="18.75">
      <c r="B12" s="259"/>
      <c r="C12" s="249"/>
      <c r="D12" s="119">
        <v>2</v>
      </c>
      <c r="E12" s="98">
        <f>(20.6*2.5%)+20.6</f>
        <v>21.115000000000002</v>
      </c>
      <c r="F12" s="98">
        <f>(34.2*2.5%)+34.2</f>
        <v>35.055</v>
      </c>
      <c r="G12" s="99">
        <f>(53.3*2.5%)+53.3</f>
        <v>54.6325</v>
      </c>
      <c r="H12" s="100"/>
    </row>
    <row r="13" spans="2:8" ht="18.75">
      <c r="B13" s="259"/>
      <c r="C13" s="250"/>
      <c r="D13" s="148">
        <v>3</v>
      </c>
      <c r="E13" s="103">
        <f>(16.5*2.5%)+16.5</f>
        <v>16.9125</v>
      </c>
      <c r="F13" s="103">
        <f>(27.4*2.5%)+27.4</f>
        <v>28.084999999999997</v>
      </c>
      <c r="G13" s="104">
        <f>(42.6*2.5%)+42.6</f>
        <v>43.665</v>
      </c>
      <c r="H13" s="95"/>
    </row>
    <row r="14" spans="2:8" ht="18.75">
      <c r="B14" s="259"/>
      <c r="C14" s="248" t="s">
        <v>13</v>
      </c>
      <c r="D14" s="119">
        <v>1</v>
      </c>
      <c r="E14" s="107">
        <f>(29.5*2.5%)+29.5</f>
        <v>30.2375</v>
      </c>
      <c r="F14" s="126">
        <f>(47.5*2.5%)+47.5</f>
        <v>48.6875</v>
      </c>
      <c r="G14" s="121">
        <f>(72*2.5%)+72</f>
        <v>73.8</v>
      </c>
      <c r="H14" s="95"/>
    </row>
    <row r="15" spans="2:8" ht="18.75">
      <c r="B15" s="259"/>
      <c r="C15" s="249"/>
      <c r="D15" s="119">
        <v>2</v>
      </c>
      <c r="E15" s="98">
        <f>(24.6*2.5%)+24.6</f>
        <v>25.215</v>
      </c>
      <c r="F15" s="120">
        <f>(39.6*2.5%)+39.6</f>
        <v>40.59</v>
      </c>
      <c r="G15" s="121">
        <f>(60*2.5%)+60</f>
        <v>61.5</v>
      </c>
      <c r="H15" s="100"/>
    </row>
    <row r="16" spans="2:8" ht="19.5" thickBot="1">
      <c r="B16" s="260"/>
      <c r="C16" s="238"/>
      <c r="D16" s="122">
        <v>3</v>
      </c>
      <c r="E16" s="168">
        <f>(19.7*2.5%)+19.7</f>
        <v>20.1925</v>
      </c>
      <c r="F16" s="169">
        <f>(31.7*2.5%)+31.7</f>
        <v>32.4925</v>
      </c>
      <c r="G16" s="170">
        <f>(48*2.5%)+48</f>
        <v>49.2</v>
      </c>
      <c r="H16" s="153"/>
    </row>
    <row r="17" spans="1:8" ht="20.25" thickBot="1">
      <c r="A17" s="114"/>
      <c r="B17" s="239" t="s">
        <v>44</v>
      </c>
      <c r="C17" s="239"/>
      <c r="D17" s="239"/>
      <c r="E17" s="239"/>
      <c r="F17" s="239"/>
      <c r="G17" s="289"/>
      <c r="H17" s="115"/>
    </row>
    <row r="18" spans="2:8" ht="18.75">
      <c r="B18" s="258" t="s">
        <v>8</v>
      </c>
      <c r="C18" s="237" t="s">
        <v>16</v>
      </c>
      <c r="D18" s="154">
        <v>1</v>
      </c>
      <c r="E18" s="92">
        <f>(17.6*2.5%)+17.6</f>
        <v>18.040000000000003</v>
      </c>
      <c r="F18" s="117">
        <f>(31*2.5%)+31</f>
        <v>31.775</v>
      </c>
      <c r="G18" s="94">
        <f>(49.4*2.5%)+49.4</f>
        <v>50.635</v>
      </c>
      <c r="H18" s="95"/>
    </row>
    <row r="19" spans="2:8" ht="18.75">
      <c r="B19" s="259"/>
      <c r="C19" s="249"/>
      <c r="D19" s="105">
        <v>2</v>
      </c>
      <c r="E19" s="97">
        <f>(14.7*2.5%)+14.7</f>
        <v>15.067499999999999</v>
      </c>
      <c r="F19" s="120">
        <f>(25.8*2.5%)+25.8</f>
        <v>26.445</v>
      </c>
      <c r="G19" s="99">
        <f>(41.2*2.5%)+41.2</f>
        <v>42.230000000000004</v>
      </c>
      <c r="H19" s="100"/>
    </row>
    <row r="20" spans="2:8" ht="18.75">
      <c r="B20" s="259"/>
      <c r="C20" s="250"/>
      <c r="D20" s="109">
        <v>3</v>
      </c>
      <c r="E20" s="102">
        <f>(11.8*2.5%)+11.8</f>
        <v>12.095</v>
      </c>
      <c r="F20" s="128">
        <f>(20.6*2.5%)+20.6</f>
        <v>21.115000000000002</v>
      </c>
      <c r="G20" s="104">
        <f>(33*2.5%)+33</f>
        <v>33.825</v>
      </c>
      <c r="H20" s="95"/>
    </row>
    <row r="21" spans="2:8" ht="18.75">
      <c r="B21" s="259"/>
      <c r="C21" s="248" t="s">
        <v>20</v>
      </c>
      <c r="D21" s="105">
        <v>1</v>
      </c>
      <c r="E21" s="106">
        <f>(19.8*2.5%)+19.8</f>
        <v>20.295</v>
      </c>
      <c r="F21" s="126">
        <f>(33.8*2.5%)+33.8</f>
        <v>34.644999999999996</v>
      </c>
      <c r="G21" s="121">
        <f>(53*2.5%)+53</f>
        <v>54.325</v>
      </c>
      <c r="H21" s="95"/>
    </row>
    <row r="22" spans="2:8" ht="18.75">
      <c r="B22" s="259"/>
      <c r="C22" s="249"/>
      <c r="D22" s="105">
        <v>2</v>
      </c>
      <c r="E22" s="97">
        <f>(16.5*2.5%)+16.5</f>
        <v>16.9125</v>
      </c>
      <c r="F22" s="120">
        <f>(28.2*2.5%)+28.2</f>
        <v>28.905</v>
      </c>
      <c r="G22" s="121">
        <f>(44.2*2.5%)+44.2</f>
        <v>45.305</v>
      </c>
      <c r="H22" s="100"/>
    </row>
    <row r="23" spans="2:8" ht="19.5" thickBot="1">
      <c r="B23" s="260"/>
      <c r="C23" s="238"/>
      <c r="D23" s="110">
        <v>3</v>
      </c>
      <c r="E23" s="111">
        <f>(13.2*2.5%)+13.2</f>
        <v>13.53</v>
      </c>
      <c r="F23" s="123">
        <f>(22.6*2.5%)+22.6</f>
        <v>23.165000000000003</v>
      </c>
      <c r="G23" s="124">
        <f>(35.4*2.5%)+35.4</f>
        <v>36.285</v>
      </c>
      <c r="H23" s="95"/>
    </row>
    <row r="24" spans="1:8" ht="25.5" customHeight="1">
      <c r="A24" s="114"/>
      <c r="B24" s="239" t="s">
        <v>45</v>
      </c>
      <c r="C24" s="239"/>
      <c r="D24" s="239"/>
      <c r="E24" s="239"/>
      <c r="F24" s="239"/>
      <c r="G24" s="239"/>
      <c r="H24" s="115"/>
    </row>
    <row r="25" spans="1:8" ht="47.25" customHeight="1" thickBot="1">
      <c r="A25" s="114"/>
      <c r="B25" s="277" t="s">
        <v>148</v>
      </c>
      <c r="C25" s="277"/>
      <c r="D25" s="277"/>
      <c r="E25" s="277"/>
      <c r="F25" s="277"/>
      <c r="G25" s="277"/>
      <c r="H25" s="115"/>
    </row>
    <row r="26" spans="1:8" ht="19.5">
      <c r="A26" s="70"/>
      <c r="B26" s="286" t="s">
        <v>65</v>
      </c>
      <c r="C26" s="237" t="s">
        <v>47</v>
      </c>
      <c r="D26" s="154" t="s">
        <v>22</v>
      </c>
      <c r="E26" s="117">
        <f>(57.6*2.5%)+57.6</f>
        <v>59.04</v>
      </c>
      <c r="F26" s="117">
        <f>(78.6*2.5%)+78.6</f>
        <v>80.565</v>
      </c>
      <c r="G26" s="118">
        <f>(113*2.5%)+113</f>
        <v>115.825</v>
      </c>
      <c r="H26" s="95"/>
    </row>
    <row r="27" spans="1:8" ht="20.25" thickBot="1">
      <c r="A27" s="70"/>
      <c r="B27" s="287"/>
      <c r="C27" s="238"/>
      <c r="D27" s="110" t="s">
        <v>23</v>
      </c>
      <c r="E27" s="123">
        <f>(48*2.5%)+48</f>
        <v>49.2</v>
      </c>
      <c r="F27" s="123">
        <f>(65.5*2.5%)+65.5</f>
        <v>67.1375</v>
      </c>
      <c r="G27" s="124">
        <f>(94.2*2.5%)+94.2</f>
        <v>96.555</v>
      </c>
      <c r="H27" s="100"/>
    </row>
    <row r="28" spans="1:8" ht="48.75" customHeight="1" thickBot="1">
      <c r="A28" s="114"/>
      <c r="B28" s="291" t="s">
        <v>149</v>
      </c>
      <c r="C28" s="291"/>
      <c r="D28" s="291"/>
      <c r="E28" s="291"/>
      <c r="F28" s="291"/>
      <c r="G28" s="291"/>
      <c r="H28" s="115"/>
    </row>
    <row r="29" spans="2:8" ht="21" customHeight="1">
      <c r="B29" s="286" t="s">
        <v>12</v>
      </c>
      <c r="C29" s="237" t="s">
        <v>21</v>
      </c>
      <c r="D29" s="154" t="s">
        <v>22</v>
      </c>
      <c r="E29" s="92">
        <f>(39.6*2.5%)+39.6</f>
        <v>40.59</v>
      </c>
      <c r="F29" s="117">
        <f>(68.4*2.5%)+68.4</f>
        <v>70.11</v>
      </c>
      <c r="G29" s="94">
        <f>(99.6*2.5%)+99.6</f>
        <v>102.08999999999999</v>
      </c>
      <c r="H29" s="95"/>
    </row>
    <row r="30" spans="2:8" ht="18.75">
      <c r="B30" s="294"/>
      <c r="C30" s="250"/>
      <c r="D30" s="105" t="s">
        <v>23</v>
      </c>
      <c r="E30" s="102">
        <f>(33*2.5%)+33</f>
        <v>33.825</v>
      </c>
      <c r="F30" s="128">
        <f>(57*2.5%)+57</f>
        <v>58.425</v>
      </c>
      <c r="G30" s="104">
        <f>(83*2.5%)+83</f>
        <v>85.075</v>
      </c>
      <c r="H30" s="100"/>
    </row>
    <row r="31" spans="2:8" ht="18.75">
      <c r="B31" s="294"/>
      <c r="C31" s="248" t="s">
        <v>13</v>
      </c>
      <c r="D31" s="155" t="s">
        <v>22</v>
      </c>
      <c r="E31" s="106">
        <f>(43.8*2.5%)+43.8</f>
        <v>44.894999999999996</v>
      </c>
      <c r="F31" s="126">
        <f>(80.4*2.5%)+80.4</f>
        <v>82.41000000000001</v>
      </c>
      <c r="G31" s="121">
        <f>(112.8*2.5%)+112.8</f>
        <v>115.62</v>
      </c>
      <c r="H31" s="95"/>
    </row>
    <row r="32" spans="2:10" ht="19.5" thickBot="1">
      <c r="B32" s="287"/>
      <c r="C32" s="238"/>
      <c r="D32" s="110" t="s">
        <v>23</v>
      </c>
      <c r="E32" s="111">
        <f>(36.5*2.5%)+36.5</f>
        <v>37.4125</v>
      </c>
      <c r="F32" s="123">
        <f>(67*2.5%)+67</f>
        <v>68.675</v>
      </c>
      <c r="G32" s="124">
        <f>(94*2.5%)+94</f>
        <v>96.35</v>
      </c>
      <c r="H32" s="100"/>
      <c r="J32" s="140"/>
    </row>
    <row r="33" spans="1:8" ht="20.25" thickBot="1">
      <c r="A33" s="114"/>
      <c r="B33" s="288" t="s">
        <v>49</v>
      </c>
      <c r="C33" s="288"/>
      <c r="D33" s="288"/>
      <c r="E33" s="288"/>
      <c r="F33" s="288"/>
      <c r="G33" s="115"/>
      <c r="H33" s="115"/>
    </row>
    <row r="34" spans="2:8" ht="15.75" customHeight="1">
      <c r="B34" s="286" t="s">
        <v>12</v>
      </c>
      <c r="C34" s="237" t="s">
        <v>21</v>
      </c>
      <c r="D34" s="154" t="s">
        <v>22</v>
      </c>
      <c r="E34" s="92">
        <f>(24*2.5%)+24</f>
        <v>24.6</v>
      </c>
      <c r="F34" s="117">
        <f>(38.5*2.5%)+38.5</f>
        <v>39.4625</v>
      </c>
      <c r="G34" s="94">
        <f>(57*2.5%)+57</f>
        <v>58.425</v>
      </c>
      <c r="H34" s="95"/>
    </row>
    <row r="35" spans="2:8" ht="18.75">
      <c r="B35" s="294"/>
      <c r="C35" s="250"/>
      <c r="D35" s="105" t="s">
        <v>23</v>
      </c>
      <c r="E35" s="102">
        <f>(20*2.5%)+20</f>
        <v>20.5</v>
      </c>
      <c r="F35" s="128">
        <f>(32.1*2.5%)+32.1</f>
        <v>32.9025</v>
      </c>
      <c r="G35" s="104">
        <f>(45.7*2.5%)+45.7</f>
        <v>46.8425</v>
      </c>
      <c r="H35" s="100"/>
    </row>
    <row r="36" spans="2:8" ht="18.75">
      <c r="B36" s="294"/>
      <c r="C36" s="248" t="s">
        <v>13</v>
      </c>
      <c r="D36" s="155" t="s">
        <v>22</v>
      </c>
      <c r="E36" s="106">
        <f>(25.8*2.5%)+25.8</f>
        <v>26.445</v>
      </c>
      <c r="F36" s="126">
        <f>(41.2*2.5%)+41.2</f>
        <v>42.230000000000004</v>
      </c>
      <c r="G36" s="121">
        <f>(60*2.5%)+60</f>
        <v>61.5</v>
      </c>
      <c r="H36" s="95"/>
    </row>
    <row r="37" spans="2:8" ht="19.5" thickBot="1">
      <c r="B37" s="287"/>
      <c r="C37" s="238"/>
      <c r="D37" s="110" t="s">
        <v>23</v>
      </c>
      <c r="E37" s="111">
        <f>(21.5*2.5%)+21.5</f>
        <v>22.0375</v>
      </c>
      <c r="F37" s="123">
        <f>(34.3*2.5%)+34.3</f>
        <v>35.1575</v>
      </c>
      <c r="G37" s="124">
        <f>(50*2.5%)+50</f>
        <v>51.25</v>
      </c>
      <c r="H37" s="100"/>
    </row>
    <row r="38" spans="1:8" ht="19.5" customHeight="1">
      <c r="A38" s="125"/>
      <c r="B38" s="279" t="s">
        <v>3</v>
      </c>
      <c r="C38" s="281" t="s">
        <v>5</v>
      </c>
      <c r="D38" s="281" t="s">
        <v>4</v>
      </c>
      <c r="E38" s="283" t="s">
        <v>259</v>
      </c>
      <c r="F38" s="283"/>
      <c r="G38" s="284"/>
      <c r="H38" s="76"/>
    </row>
    <row r="39" spans="1:8" ht="35.25" customHeight="1" thickBot="1">
      <c r="A39" s="125"/>
      <c r="B39" s="280"/>
      <c r="C39" s="282"/>
      <c r="D39" s="282"/>
      <c r="E39" s="165" t="s">
        <v>91</v>
      </c>
      <c r="F39" s="166" t="s">
        <v>92</v>
      </c>
      <c r="G39" s="167" t="s">
        <v>93</v>
      </c>
      <c r="H39" s="76"/>
    </row>
    <row r="40" spans="1:8" ht="19.5">
      <c r="A40" s="114"/>
      <c r="B40" s="254" t="s">
        <v>97</v>
      </c>
      <c r="C40" s="254"/>
      <c r="D40" s="254"/>
      <c r="E40" s="254"/>
      <c r="F40" s="254"/>
      <c r="G40" s="254"/>
      <c r="H40" s="115"/>
    </row>
    <row r="41" spans="1:8" ht="20.25" thickBot="1">
      <c r="A41" s="114"/>
      <c r="B41" s="278" t="s">
        <v>51</v>
      </c>
      <c r="C41" s="278"/>
      <c r="D41" s="278"/>
      <c r="E41" s="278"/>
      <c r="F41" s="278"/>
      <c r="G41" s="278"/>
      <c r="H41" s="115"/>
    </row>
    <row r="42" spans="2:8" ht="18.75">
      <c r="B42" s="286" t="s">
        <v>52</v>
      </c>
      <c r="C42" s="237" t="s">
        <v>21</v>
      </c>
      <c r="D42" s="154" t="s">
        <v>22</v>
      </c>
      <c r="E42" s="92">
        <f>(25.8*2.5%)+25.8</f>
        <v>26.445</v>
      </c>
      <c r="F42" s="117">
        <f>(39.1*2.5%)+39.1</f>
        <v>40.0775</v>
      </c>
      <c r="G42" s="94">
        <f>(58.6*2.5%)+58.6</f>
        <v>60.065000000000005</v>
      </c>
      <c r="H42" s="95"/>
    </row>
    <row r="43" spans="2:8" ht="18.75">
      <c r="B43" s="294"/>
      <c r="C43" s="250"/>
      <c r="D43" s="105" t="s">
        <v>23</v>
      </c>
      <c r="E43" s="102">
        <f>(21.5*2.5%)+21.5</f>
        <v>22.0375</v>
      </c>
      <c r="F43" s="128">
        <f>(32.6*2.5%)+32.6</f>
        <v>33.415</v>
      </c>
      <c r="G43" s="104">
        <f>(48.8*2.5%)+48.8</f>
        <v>50.019999999999996</v>
      </c>
      <c r="H43" s="100"/>
    </row>
    <row r="44" spans="2:8" ht="18.75">
      <c r="B44" s="294"/>
      <c r="C44" s="248" t="s">
        <v>13</v>
      </c>
      <c r="D44" s="155" t="s">
        <v>22</v>
      </c>
      <c r="E44" s="106">
        <f>(28*2.5%)+28</f>
        <v>28.7</v>
      </c>
      <c r="F44" s="126">
        <f>(42.6*2.5%)+42.6</f>
        <v>43.665</v>
      </c>
      <c r="G44" s="121">
        <f>(62.8*2.5%)+62.8</f>
        <v>64.36999999999999</v>
      </c>
      <c r="H44" s="95"/>
    </row>
    <row r="45" spans="2:8" ht="19.5" thickBot="1">
      <c r="B45" s="287"/>
      <c r="C45" s="238"/>
      <c r="D45" s="110" t="s">
        <v>23</v>
      </c>
      <c r="E45" s="111">
        <f>(23.3*2.5%)+23.3</f>
        <v>23.8825</v>
      </c>
      <c r="F45" s="123">
        <f>(35.5*2.5%)+35.5</f>
        <v>36.3875</v>
      </c>
      <c r="G45" s="124">
        <f>(52.3*2.5%)+52.3</f>
        <v>53.607499999999995</v>
      </c>
      <c r="H45" s="100"/>
    </row>
    <row r="46" spans="1:8" ht="39.75" customHeight="1">
      <c r="A46" s="125"/>
      <c r="B46" s="269" t="s">
        <v>53</v>
      </c>
      <c r="C46" s="269"/>
      <c r="D46" s="269"/>
      <c r="E46" s="269"/>
      <c r="F46" s="269"/>
      <c r="G46" s="269"/>
      <c r="H46" s="55"/>
    </row>
    <row r="47" spans="1:8" ht="20.25" thickBot="1">
      <c r="A47" s="114"/>
      <c r="B47" s="278" t="s">
        <v>54</v>
      </c>
      <c r="C47" s="278"/>
      <c r="D47" s="239"/>
      <c r="E47" s="278"/>
      <c r="F47" s="278"/>
      <c r="G47" s="278"/>
      <c r="H47" s="115"/>
    </row>
    <row r="48" spans="2:8" ht="15.75" customHeight="1">
      <c r="B48" s="286" t="s">
        <v>56</v>
      </c>
      <c r="C48" s="237" t="s">
        <v>38</v>
      </c>
      <c r="D48" s="91" t="s">
        <v>22</v>
      </c>
      <c r="E48" s="296">
        <f>(13.8*2.5%)+13.8</f>
        <v>14.145000000000001</v>
      </c>
      <c r="F48" s="244">
        <f>(30.3*2.5%)+30.3</f>
        <v>31.0575</v>
      </c>
      <c r="G48" s="298">
        <f>(52.3*2.5%)+52.3</f>
        <v>53.607499999999995</v>
      </c>
      <c r="H48" s="130"/>
    </row>
    <row r="49" spans="2:8" ht="18.75">
      <c r="B49" s="294"/>
      <c r="C49" s="250"/>
      <c r="D49" s="96" t="s">
        <v>23</v>
      </c>
      <c r="E49" s="297"/>
      <c r="F49" s="300"/>
      <c r="G49" s="299"/>
      <c r="H49" s="130"/>
    </row>
    <row r="50" spans="2:8" ht="25.5" customHeight="1" thickBot="1">
      <c r="B50" s="287"/>
      <c r="C50" s="156" t="s">
        <v>55</v>
      </c>
      <c r="D50" s="164" t="s">
        <v>29</v>
      </c>
      <c r="E50" s="157">
        <f>(13*2.5%)+13</f>
        <v>13.325</v>
      </c>
      <c r="F50" s="158">
        <f>(26.5*2.5%)+26.5</f>
        <v>27.1625</v>
      </c>
      <c r="G50" s="159">
        <f>(46.7*2.5%)+46.7</f>
        <v>47.8675</v>
      </c>
      <c r="H50" s="100"/>
    </row>
    <row r="51" spans="2:8" ht="16.5" customHeight="1">
      <c r="B51" s="239" t="s">
        <v>57</v>
      </c>
      <c r="C51" s="239"/>
      <c r="D51" s="239"/>
      <c r="E51" s="239"/>
      <c r="F51" s="239"/>
      <c r="G51" s="239"/>
      <c r="H51" s="89"/>
    </row>
    <row r="52" spans="2:8" ht="40.5" customHeight="1">
      <c r="B52" s="295" t="s">
        <v>98</v>
      </c>
      <c r="C52" s="295"/>
      <c r="D52" s="295"/>
      <c r="E52" s="295"/>
      <c r="F52" s="295"/>
      <c r="G52" s="295"/>
      <c r="H52" s="89"/>
    </row>
    <row r="53" spans="2:8" ht="24.75" customHeight="1" thickBot="1">
      <c r="B53" s="290" t="s">
        <v>43</v>
      </c>
      <c r="C53" s="290"/>
      <c r="D53" s="290"/>
      <c r="E53" s="290"/>
      <c r="F53" s="290"/>
      <c r="G53" s="290"/>
      <c r="H53" s="89"/>
    </row>
    <row r="54" spans="2:8" ht="39.75" customHeight="1" thickBot="1">
      <c r="B54" s="160" t="s">
        <v>59</v>
      </c>
      <c r="C54" s="135" t="s">
        <v>58</v>
      </c>
      <c r="D54" s="161" t="s">
        <v>23</v>
      </c>
      <c r="E54" s="162">
        <f>(16.9*2.5%)+16.9</f>
        <v>17.322499999999998</v>
      </c>
      <c r="F54" s="138">
        <f>(28*2.5%)+28</f>
        <v>28.7</v>
      </c>
      <c r="G54" s="139">
        <f>(48*2.5%)+48</f>
        <v>49.2</v>
      </c>
      <c r="H54" s="130"/>
    </row>
    <row r="55" spans="1:8" ht="20.25" thickBot="1">
      <c r="A55" s="114"/>
      <c r="B55" s="292" t="s">
        <v>44</v>
      </c>
      <c r="C55" s="292"/>
      <c r="D55" s="292"/>
      <c r="E55" s="292"/>
      <c r="F55" s="292"/>
      <c r="G55" s="292"/>
      <c r="H55" s="115"/>
    </row>
    <row r="56" spans="2:8" ht="39" customHeight="1" thickBot="1">
      <c r="B56" s="160" t="s">
        <v>59</v>
      </c>
      <c r="C56" s="135" t="s">
        <v>58</v>
      </c>
      <c r="D56" s="161" t="s">
        <v>23</v>
      </c>
      <c r="E56" s="163">
        <f>(14.5*2.5%)+14.5</f>
        <v>14.8625</v>
      </c>
      <c r="F56" s="138">
        <f>(24*2.5%)+24</f>
        <v>24.6</v>
      </c>
      <c r="G56" s="139">
        <f>(38.3*2.5%)+38.3</f>
        <v>39.2575</v>
      </c>
      <c r="H56" s="130"/>
    </row>
    <row r="58" spans="5:6" ht="18.75">
      <c r="E58" s="140"/>
      <c r="F58" s="140"/>
    </row>
  </sheetData>
  <sheetProtection/>
  <mergeCells count="49">
    <mergeCell ref="B52:G52"/>
    <mergeCell ref="C31:C32"/>
    <mergeCell ref="B29:B32"/>
    <mergeCell ref="C29:C30"/>
    <mergeCell ref="E48:E49"/>
    <mergeCell ref="G48:G49"/>
    <mergeCell ref="F48:F49"/>
    <mergeCell ref="C36:C37"/>
    <mergeCell ref="B42:B45"/>
    <mergeCell ref="B46:G46"/>
    <mergeCell ref="B53:G53"/>
    <mergeCell ref="B28:G28"/>
    <mergeCell ref="B55:G55"/>
    <mergeCell ref="B1:G1"/>
    <mergeCell ref="B2:G2"/>
    <mergeCell ref="B48:B50"/>
    <mergeCell ref="C48:C49"/>
    <mergeCell ref="C26:C27"/>
    <mergeCell ref="B51:G51"/>
    <mergeCell ref="B34:B37"/>
    <mergeCell ref="B17:G17"/>
    <mergeCell ref="B24:G24"/>
    <mergeCell ref="B25:G25"/>
    <mergeCell ref="C44:C45"/>
    <mergeCell ref="B40:G40"/>
    <mergeCell ref="B41:G41"/>
    <mergeCell ref="B18:B23"/>
    <mergeCell ref="C18:C20"/>
    <mergeCell ref="C42:C43"/>
    <mergeCell ref="B5:G5"/>
    <mergeCell ref="B6:G6"/>
    <mergeCell ref="B7:G7"/>
    <mergeCell ref="C21:C23"/>
    <mergeCell ref="B26:B27"/>
    <mergeCell ref="C34:C35"/>
    <mergeCell ref="C8:C10"/>
    <mergeCell ref="C11:C13"/>
    <mergeCell ref="C14:C16"/>
    <mergeCell ref="B33:F33"/>
    <mergeCell ref="B3:B4"/>
    <mergeCell ref="C3:C4"/>
    <mergeCell ref="D3:D4"/>
    <mergeCell ref="B47:G47"/>
    <mergeCell ref="B38:B39"/>
    <mergeCell ref="C38:C39"/>
    <mergeCell ref="D38:D39"/>
    <mergeCell ref="E38:G38"/>
    <mergeCell ref="E3:G3"/>
    <mergeCell ref="B8:B16"/>
  </mergeCells>
  <printOptions/>
  <pageMargins left="0.15748031496062992" right="0.1968503937007874" top="0.2362204724409449" bottom="0.1968503937007874" header="0.2362204724409449" footer="0.15748031496062992"/>
  <pageSetup horizontalDpi="600" verticalDpi="600" orientation="portrait" paperSize="9" scale="98" r:id="rId1"/>
  <rowBreaks count="2" manualBreakCount="2">
    <brk id="37" max="6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45"/>
  <sheetViews>
    <sheetView view="pageBreakPreview" zoomScale="80" zoomScaleNormal="150" zoomScaleSheetLayoutView="80" zoomScalePageLayoutView="0" workbookViewId="0" topLeftCell="A34">
      <selection activeCell="G46" sqref="G46"/>
    </sheetView>
  </sheetViews>
  <sheetFormatPr defaultColWidth="9.00390625" defaultRowHeight="12.75"/>
  <cols>
    <col min="1" max="1" width="4.00390625" style="48" customWidth="1"/>
    <col min="2" max="2" width="15.00390625" style="48" customWidth="1"/>
    <col min="3" max="3" width="13.75390625" style="48" customWidth="1"/>
    <col min="4" max="4" width="16.375" style="48" customWidth="1"/>
    <col min="5" max="6" width="13.125" style="48" customWidth="1"/>
    <col min="7" max="7" width="24.75390625" style="48" customWidth="1"/>
    <col min="8" max="8" width="5.125" style="48" customWidth="1"/>
    <col min="9" max="16384" width="9.125" style="48" customWidth="1"/>
  </cols>
  <sheetData>
    <row r="1" spans="1:8" s="78" customFormat="1" ht="21" customHeight="1">
      <c r="A1" s="27"/>
      <c r="B1" s="304"/>
      <c r="C1" s="304"/>
      <c r="D1" s="304"/>
      <c r="E1" s="304"/>
      <c r="F1" s="304"/>
      <c r="G1" s="28"/>
      <c r="H1" s="28"/>
    </row>
    <row r="2" spans="1:8" ht="27" customHeight="1">
      <c r="A2" s="152"/>
      <c r="B2" s="293" t="s">
        <v>88</v>
      </c>
      <c r="C2" s="293"/>
      <c r="D2" s="293"/>
      <c r="E2" s="293"/>
      <c r="F2" s="293"/>
      <c r="G2" s="293"/>
      <c r="H2" s="29"/>
    </row>
    <row r="3" spans="1:8" ht="21" customHeight="1" thickBot="1">
      <c r="A3" s="84"/>
      <c r="B3" s="270" t="s">
        <v>10</v>
      </c>
      <c r="C3" s="270"/>
      <c r="D3" s="270"/>
      <c r="E3" s="270"/>
      <c r="F3" s="270"/>
      <c r="G3" s="270"/>
      <c r="H3" s="83"/>
    </row>
    <row r="4" spans="1:8" ht="21" customHeight="1">
      <c r="A4" s="114"/>
      <c r="B4" s="255" t="s">
        <v>3</v>
      </c>
      <c r="C4" s="264" t="s">
        <v>5</v>
      </c>
      <c r="D4" s="265" t="s">
        <v>4</v>
      </c>
      <c r="E4" s="311" t="s">
        <v>259</v>
      </c>
      <c r="F4" s="283"/>
      <c r="G4" s="284"/>
      <c r="H4" s="71"/>
    </row>
    <row r="5" spans="1:8" ht="24.75" customHeight="1" thickBot="1">
      <c r="A5" s="114"/>
      <c r="B5" s="280"/>
      <c r="C5" s="282"/>
      <c r="D5" s="305"/>
      <c r="E5" s="166" t="s">
        <v>91</v>
      </c>
      <c r="F5" s="166" t="s">
        <v>92</v>
      </c>
      <c r="G5" s="167" t="s">
        <v>93</v>
      </c>
      <c r="H5" s="71"/>
    </row>
    <row r="6" spans="2:8" ht="22.5" customHeight="1">
      <c r="B6" s="285" t="s">
        <v>2</v>
      </c>
      <c r="C6" s="285"/>
      <c r="D6" s="285"/>
      <c r="E6" s="285"/>
      <c r="F6" s="285"/>
      <c r="G6" s="285"/>
      <c r="H6" s="89"/>
    </row>
    <row r="7" spans="2:8" ht="41.25" customHeight="1">
      <c r="B7" s="295" t="s">
        <v>96</v>
      </c>
      <c r="C7" s="295"/>
      <c r="D7" s="295"/>
      <c r="E7" s="295"/>
      <c r="F7" s="295"/>
      <c r="G7" s="295"/>
      <c r="H7" s="89"/>
    </row>
    <row r="8" spans="2:8" ht="22.5" customHeight="1" thickBot="1">
      <c r="B8" s="285" t="s">
        <v>60</v>
      </c>
      <c r="C8" s="285"/>
      <c r="D8" s="285"/>
      <c r="E8" s="285"/>
      <c r="F8" s="285"/>
      <c r="G8" s="285"/>
      <c r="H8" s="89"/>
    </row>
    <row r="9" spans="2:8" ht="18.75">
      <c r="B9" s="258" t="s">
        <v>61</v>
      </c>
      <c r="C9" s="237" t="s">
        <v>16</v>
      </c>
      <c r="D9" s="154">
        <v>1</v>
      </c>
      <c r="E9" s="92">
        <f>(44*2.5%)+44</f>
        <v>45.1</v>
      </c>
      <c r="F9" s="93">
        <f>(69.2*2.5%)+69.2</f>
        <v>70.93</v>
      </c>
      <c r="G9" s="94">
        <f>(88.6*2.5%)+88.6</f>
        <v>90.815</v>
      </c>
      <c r="H9" s="95"/>
    </row>
    <row r="10" spans="2:8" ht="18.75">
      <c r="B10" s="259"/>
      <c r="C10" s="249"/>
      <c r="D10" s="105">
        <v>2</v>
      </c>
      <c r="E10" s="97">
        <f>(36.7*2.5%)+36.7</f>
        <v>37.6175</v>
      </c>
      <c r="F10" s="98">
        <f>(57.7*2.5%)+57.7</f>
        <v>59.142500000000005</v>
      </c>
      <c r="G10" s="99">
        <f>(73.8*2.5%)+73.8</f>
        <v>75.645</v>
      </c>
      <c r="H10" s="100"/>
    </row>
    <row r="11" spans="2:8" ht="18.75">
      <c r="B11" s="259"/>
      <c r="C11" s="250"/>
      <c r="D11" s="109">
        <v>3</v>
      </c>
      <c r="E11" s="102">
        <f>(29.4*2.5%)+29.4</f>
        <v>30.134999999999998</v>
      </c>
      <c r="F11" s="103">
        <f>(46.2*2.5%)+46.2</f>
        <v>47.355000000000004</v>
      </c>
      <c r="G11" s="104">
        <f>(59*2.5%)+59</f>
        <v>60.475</v>
      </c>
      <c r="H11" s="95"/>
    </row>
    <row r="12" spans="2:8" ht="18.75">
      <c r="B12" s="259"/>
      <c r="C12" s="248" t="s">
        <v>17</v>
      </c>
      <c r="D12" s="105">
        <v>1</v>
      </c>
      <c r="E12" s="106">
        <f>(65.8*2.5%)+65.8</f>
        <v>67.445</v>
      </c>
      <c r="F12" s="107">
        <f>(103.4*2.5%)+103.4</f>
        <v>105.985</v>
      </c>
      <c r="G12" s="108">
        <f>(133.6*2.5%)+133.6</f>
        <v>136.94</v>
      </c>
      <c r="H12" s="95"/>
    </row>
    <row r="13" spans="2:8" ht="18.75">
      <c r="B13" s="259"/>
      <c r="C13" s="249"/>
      <c r="D13" s="105">
        <v>2</v>
      </c>
      <c r="E13" s="97">
        <f>(54.8*2.5%)+54.8</f>
        <v>56.169999999999995</v>
      </c>
      <c r="F13" s="98">
        <f>(86.2*2.5%)+86.2</f>
        <v>88.355</v>
      </c>
      <c r="G13" s="99">
        <f>(111.3*2.5%)+111.3</f>
        <v>114.0825</v>
      </c>
      <c r="H13" s="100"/>
    </row>
    <row r="14" spans="2:8" ht="18.75">
      <c r="B14" s="259"/>
      <c r="C14" s="250"/>
      <c r="D14" s="109">
        <v>3</v>
      </c>
      <c r="E14" s="102">
        <f>(43.8*2.5%)+43.8</f>
        <v>44.894999999999996</v>
      </c>
      <c r="F14" s="103">
        <f>(69*2.5%)*69</f>
        <v>119.025</v>
      </c>
      <c r="G14" s="104">
        <f>(89*2.5%)+89</f>
        <v>91.225</v>
      </c>
      <c r="H14" s="95"/>
    </row>
    <row r="15" spans="2:8" ht="18.75">
      <c r="B15" s="259"/>
      <c r="C15" s="248" t="s">
        <v>62</v>
      </c>
      <c r="D15" s="105">
        <v>1</v>
      </c>
      <c r="E15" s="106">
        <f>(98.4*2.5%)+98.4</f>
        <v>100.86</v>
      </c>
      <c r="F15" s="107">
        <f>(147*2.5%)+147</f>
        <v>150.675</v>
      </c>
      <c r="G15" s="108">
        <f>(182*2.5%)+182</f>
        <v>186.55</v>
      </c>
      <c r="H15" s="95"/>
    </row>
    <row r="16" spans="2:8" ht="18.75">
      <c r="B16" s="259"/>
      <c r="C16" s="249"/>
      <c r="D16" s="105">
        <v>2</v>
      </c>
      <c r="E16" s="97">
        <f>(82*2.5%)+82</f>
        <v>84.05</v>
      </c>
      <c r="F16" s="98">
        <f>(122.5*2.5%)+122.5</f>
        <v>125.5625</v>
      </c>
      <c r="G16" s="99">
        <f>(151.7*2.5%)+151.7</f>
        <v>155.49249999999998</v>
      </c>
      <c r="H16" s="100"/>
    </row>
    <row r="17" spans="2:8" ht="18.75">
      <c r="B17" s="259"/>
      <c r="C17" s="250"/>
      <c r="D17" s="109">
        <v>3</v>
      </c>
      <c r="E17" s="102">
        <f>(65.6*2.5%)+65.6</f>
        <v>67.24</v>
      </c>
      <c r="F17" s="103">
        <f>(98*2.5%)+98</f>
        <v>100.45</v>
      </c>
      <c r="G17" s="104">
        <f>(121.4*2.5%)+121.4</f>
        <v>124.435</v>
      </c>
      <c r="H17" s="95"/>
    </row>
    <row r="18" spans="2:8" ht="18.75">
      <c r="B18" s="259"/>
      <c r="C18" s="248" t="s">
        <v>63</v>
      </c>
      <c r="D18" s="105">
        <v>1</v>
      </c>
      <c r="E18" s="106">
        <f>(117.1*2.5%)+117.1</f>
        <v>120.02749999999999</v>
      </c>
      <c r="F18" s="107">
        <f>(159.6*2.5%)+159.6</f>
        <v>163.59</v>
      </c>
      <c r="G18" s="108">
        <f>(195.6*2.5%)+195.6</f>
        <v>200.49</v>
      </c>
      <c r="H18" s="95"/>
    </row>
    <row r="19" spans="2:8" ht="18.75">
      <c r="B19" s="259"/>
      <c r="C19" s="249"/>
      <c r="D19" s="105">
        <v>2</v>
      </c>
      <c r="E19" s="97">
        <f>(97.6*2.5%)+97.6</f>
        <v>100.03999999999999</v>
      </c>
      <c r="F19" s="98">
        <f>(133.3*2.5%)+133.3</f>
        <v>136.63250000000002</v>
      </c>
      <c r="G19" s="99">
        <f>(163*2.5%)+163</f>
        <v>167.075</v>
      </c>
      <c r="H19" s="100"/>
    </row>
    <row r="20" spans="2:8" ht="19.5" thickBot="1">
      <c r="B20" s="260"/>
      <c r="C20" s="238"/>
      <c r="D20" s="110">
        <v>3</v>
      </c>
      <c r="E20" s="171">
        <f>(78.1*2.5%)+78.1</f>
        <v>80.0525</v>
      </c>
      <c r="F20" s="168">
        <f>(106.4*2.5%)+106.4</f>
        <v>109.06</v>
      </c>
      <c r="G20" s="172">
        <f>(130.4*2.5%)+130.4</f>
        <v>133.66</v>
      </c>
      <c r="H20" s="153"/>
    </row>
    <row r="21" spans="1:8" ht="18.75">
      <c r="A21" s="125"/>
      <c r="B21" s="239" t="s">
        <v>64</v>
      </c>
      <c r="C21" s="239"/>
      <c r="D21" s="239"/>
      <c r="E21" s="239"/>
      <c r="F21" s="239"/>
      <c r="G21" s="239"/>
      <c r="H21" s="55"/>
    </row>
    <row r="22" spans="1:8" ht="20.25" thickBot="1">
      <c r="A22" s="114"/>
      <c r="B22" s="310" t="s">
        <v>99</v>
      </c>
      <c r="C22" s="310"/>
      <c r="D22" s="310"/>
      <c r="E22" s="310"/>
      <c r="F22" s="310"/>
      <c r="G22" s="310"/>
      <c r="H22" s="70"/>
    </row>
    <row r="23" spans="2:8" ht="18.75">
      <c r="B23" s="286" t="s">
        <v>65</v>
      </c>
      <c r="C23" s="237" t="s">
        <v>66</v>
      </c>
      <c r="D23" s="154" t="s">
        <v>22</v>
      </c>
      <c r="E23" s="92">
        <f>(171.6*2.5%)+171.6</f>
        <v>175.89</v>
      </c>
      <c r="F23" s="93">
        <f>(231*2.5%)+231</f>
        <v>236.775</v>
      </c>
      <c r="G23" s="94">
        <f>(307.2*2.5%)+307.2</f>
        <v>314.88</v>
      </c>
      <c r="H23" s="173"/>
    </row>
    <row r="24" spans="2:8" ht="18.75">
      <c r="B24" s="294"/>
      <c r="C24" s="250"/>
      <c r="D24" s="105" t="s">
        <v>23</v>
      </c>
      <c r="E24" s="102">
        <f>(143*2.5%)+143</f>
        <v>146.575</v>
      </c>
      <c r="F24" s="103">
        <f>(192.5*2.5%)+192.5</f>
        <v>197.3125</v>
      </c>
      <c r="G24" s="104">
        <f>(256*2.5%)+256</f>
        <v>262.4</v>
      </c>
      <c r="H24" s="63"/>
    </row>
    <row r="25" spans="2:8" ht="18.75">
      <c r="B25" s="294"/>
      <c r="C25" s="248" t="s">
        <v>63</v>
      </c>
      <c r="D25" s="155" t="s">
        <v>22</v>
      </c>
      <c r="E25" s="106">
        <f>(184.8*2.5%)+184.8</f>
        <v>189.42000000000002</v>
      </c>
      <c r="F25" s="107">
        <f>(245.4*2.5%)+245.4</f>
        <v>251.535</v>
      </c>
      <c r="G25" s="126">
        <f>(330*2.5%)+330</f>
        <v>338.25</v>
      </c>
      <c r="H25" s="173"/>
    </row>
    <row r="26" spans="2:8" ht="19.5" thickBot="1">
      <c r="B26" s="287"/>
      <c r="C26" s="238"/>
      <c r="D26" s="110" t="s">
        <v>23</v>
      </c>
      <c r="E26" s="111">
        <f>(154*2.5%)+154</f>
        <v>157.85</v>
      </c>
      <c r="F26" s="112">
        <f>(204.5*2.5%)+204.5</f>
        <v>209.6125</v>
      </c>
      <c r="G26" s="128">
        <f>(275*2.5%)+275</f>
        <v>281.875</v>
      </c>
      <c r="H26" s="63"/>
    </row>
    <row r="27" spans="1:8" ht="18.75">
      <c r="A27" s="125"/>
      <c r="B27" s="254" t="s">
        <v>68</v>
      </c>
      <c r="C27" s="254"/>
      <c r="D27" s="254"/>
      <c r="E27" s="254"/>
      <c r="F27" s="254"/>
      <c r="G27" s="254"/>
      <c r="H27" s="55"/>
    </row>
    <row r="28" spans="1:8" ht="40.5" customHeight="1">
      <c r="A28" s="114"/>
      <c r="B28" s="295" t="s">
        <v>98</v>
      </c>
      <c r="C28" s="295"/>
      <c r="D28" s="295"/>
      <c r="E28" s="295"/>
      <c r="F28" s="295"/>
      <c r="G28" s="295"/>
      <c r="H28" s="70"/>
    </row>
    <row r="29" spans="1:8" ht="20.25" thickBot="1">
      <c r="A29" s="114"/>
      <c r="B29" s="239" t="s">
        <v>60</v>
      </c>
      <c r="C29" s="239"/>
      <c r="D29" s="239"/>
      <c r="E29" s="239"/>
      <c r="F29" s="239"/>
      <c r="G29" s="239"/>
      <c r="H29" s="115"/>
    </row>
    <row r="30" spans="2:8" ht="38.25" thickBot="1">
      <c r="B30" s="160" t="s">
        <v>59</v>
      </c>
      <c r="C30" s="135" t="s">
        <v>58</v>
      </c>
      <c r="D30" s="161" t="s">
        <v>23</v>
      </c>
      <c r="E30" s="163">
        <f>(37.7*2.5%)+37.7</f>
        <v>38.642500000000005</v>
      </c>
      <c r="F30" s="138">
        <f>(49.5*2.5%)+49.5</f>
        <v>50.7375</v>
      </c>
      <c r="G30" s="139">
        <f>(74*2.5%)+74</f>
        <v>75.85</v>
      </c>
      <c r="H30" s="130"/>
    </row>
    <row r="31" spans="1:8" ht="18.75">
      <c r="A31" s="125"/>
      <c r="B31" s="254" t="s">
        <v>260</v>
      </c>
      <c r="C31" s="254"/>
      <c r="D31" s="254"/>
      <c r="E31" s="254"/>
      <c r="F31" s="254"/>
      <c r="G31" s="254"/>
      <c r="H31" s="55"/>
    </row>
    <row r="32" spans="1:8" ht="19.5">
      <c r="A32" s="114"/>
      <c r="B32" s="239" t="s">
        <v>80</v>
      </c>
      <c r="C32" s="239"/>
      <c r="D32" s="239"/>
      <c r="E32" s="239"/>
      <c r="F32" s="239"/>
      <c r="G32" s="239"/>
      <c r="H32" s="115"/>
    </row>
    <row r="33" spans="2:8" ht="78" customHeight="1">
      <c r="B33" s="77" t="s">
        <v>81</v>
      </c>
      <c r="C33" s="164" t="s">
        <v>82</v>
      </c>
      <c r="D33" s="176" t="s">
        <v>78</v>
      </c>
      <c r="E33" s="177">
        <f>(15*2.5%)+15</f>
        <v>15.375</v>
      </c>
      <c r="F33" s="178">
        <f>(29.6*2.5%)+29.6</f>
        <v>30.34</v>
      </c>
      <c r="G33" s="179">
        <f>(50*2.5%)+50</f>
        <v>51.25</v>
      </c>
      <c r="H33" s="130"/>
    </row>
    <row r="34" spans="1:8" ht="21" customHeight="1">
      <c r="A34" s="114"/>
      <c r="B34" s="261" t="s">
        <v>3</v>
      </c>
      <c r="C34" s="261" t="s">
        <v>5</v>
      </c>
      <c r="D34" s="266" t="s">
        <v>4</v>
      </c>
      <c r="E34" s="274" t="s">
        <v>259</v>
      </c>
      <c r="F34" s="275"/>
      <c r="G34" s="276"/>
      <c r="H34" s="71"/>
    </row>
    <row r="35" spans="1:8" ht="24.75" customHeight="1">
      <c r="A35" s="114"/>
      <c r="B35" s="313"/>
      <c r="C35" s="313"/>
      <c r="D35" s="306"/>
      <c r="E35" s="151" t="s">
        <v>91</v>
      </c>
      <c r="F35" s="151" t="s">
        <v>92</v>
      </c>
      <c r="G35" s="150" t="s">
        <v>93</v>
      </c>
      <c r="H35" s="71"/>
    </row>
    <row r="36" spans="1:8" ht="32.25" customHeight="1">
      <c r="A36" s="152"/>
      <c r="B36" s="307" t="s">
        <v>261</v>
      </c>
      <c r="C36" s="307"/>
      <c r="D36" s="307"/>
      <c r="E36" s="307"/>
      <c r="F36" s="307"/>
      <c r="G36" s="307"/>
      <c r="H36" s="174"/>
    </row>
    <row r="37" spans="1:8" ht="27.75" customHeight="1" thickBot="1">
      <c r="A37" s="84"/>
      <c r="B37" s="277" t="s">
        <v>85</v>
      </c>
      <c r="C37" s="277"/>
      <c r="D37" s="277"/>
      <c r="E37" s="277"/>
      <c r="F37" s="277"/>
      <c r="G37" s="277"/>
      <c r="H37" s="175"/>
    </row>
    <row r="38" spans="2:8" ht="15.75" customHeight="1">
      <c r="B38" s="258" t="s">
        <v>39</v>
      </c>
      <c r="C38" s="237" t="s">
        <v>72</v>
      </c>
      <c r="D38" s="314" t="s">
        <v>75</v>
      </c>
      <c r="E38" s="244">
        <f>(12*2.5%)+12</f>
        <v>12.3</v>
      </c>
      <c r="F38" s="244">
        <f>(20.4*2.5%)+20.4</f>
        <v>20.91</v>
      </c>
      <c r="G38" s="298">
        <f>(31.5*2.5%)+31.5</f>
        <v>32.2875</v>
      </c>
      <c r="H38" s="130"/>
    </row>
    <row r="39" spans="2:8" ht="48.75" customHeight="1">
      <c r="B39" s="259"/>
      <c r="C39" s="250"/>
      <c r="D39" s="309"/>
      <c r="E39" s="300"/>
      <c r="F39" s="300"/>
      <c r="G39" s="299"/>
      <c r="H39" s="130"/>
    </row>
    <row r="40" spans="2:8" ht="15" customHeight="1">
      <c r="B40" s="259"/>
      <c r="C40" s="248" t="s">
        <v>73</v>
      </c>
      <c r="D40" s="308" t="s">
        <v>76</v>
      </c>
      <c r="E40" s="301">
        <f>(10.6*2.5%)+10.6</f>
        <v>10.865</v>
      </c>
      <c r="F40" s="301">
        <f>(18.6*2.5%)+18.6</f>
        <v>19.065</v>
      </c>
      <c r="G40" s="302">
        <f>(29.3*2.5%)+29.3</f>
        <v>30.032500000000002</v>
      </c>
      <c r="H40" s="130"/>
    </row>
    <row r="41" spans="2:8" ht="51" customHeight="1">
      <c r="B41" s="259"/>
      <c r="C41" s="250"/>
      <c r="D41" s="309"/>
      <c r="E41" s="300"/>
      <c r="F41" s="300"/>
      <c r="G41" s="299"/>
      <c r="H41" s="130"/>
    </row>
    <row r="42" spans="2:8" ht="15" customHeight="1">
      <c r="B42" s="259"/>
      <c r="C42" s="248" t="s">
        <v>73</v>
      </c>
      <c r="D42" s="308" t="s">
        <v>77</v>
      </c>
      <c r="E42" s="301">
        <f>(9*2.5%)+9</f>
        <v>9.225</v>
      </c>
      <c r="F42" s="301">
        <f>(14.8*2.5%)+14.8</f>
        <v>15.17</v>
      </c>
      <c r="G42" s="302">
        <f>(24.4*2.5%)+24.4</f>
        <v>25.009999999999998</v>
      </c>
      <c r="H42" s="130"/>
    </row>
    <row r="43" spans="2:8" ht="38.25" customHeight="1">
      <c r="B43" s="259"/>
      <c r="C43" s="250"/>
      <c r="D43" s="309"/>
      <c r="E43" s="300"/>
      <c r="F43" s="300"/>
      <c r="G43" s="299"/>
      <c r="H43" s="130"/>
    </row>
    <row r="44" spans="2:8" ht="15" customHeight="1">
      <c r="B44" s="259"/>
      <c r="C44" s="248" t="s">
        <v>73</v>
      </c>
      <c r="D44" s="308" t="s">
        <v>78</v>
      </c>
      <c r="E44" s="301">
        <f>(31.9*2.5%)+31.9</f>
        <v>32.6975</v>
      </c>
      <c r="F44" s="301">
        <f>(48*2.5%)+48</f>
        <v>49.2</v>
      </c>
      <c r="G44" s="303">
        <f>(67.5*2.5%)+67.5</f>
        <v>69.1875</v>
      </c>
      <c r="H44" s="130"/>
    </row>
    <row r="45" spans="2:8" ht="39.75" customHeight="1" thickBot="1">
      <c r="B45" s="260"/>
      <c r="C45" s="238"/>
      <c r="D45" s="312"/>
      <c r="E45" s="245"/>
      <c r="F45" s="245"/>
      <c r="G45" s="247"/>
      <c r="H45" s="130"/>
    </row>
  </sheetData>
  <sheetProtection/>
  <mergeCells count="52">
    <mergeCell ref="D42:D43"/>
    <mergeCell ref="C44:C45"/>
    <mergeCell ref="D44:D45"/>
    <mergeCell ref="B34:B35"/>
    <mergeCell ref="C34:C35"/>
    <mergeCell ref="D38:D39"/>
    <mergeCell ref="C42:C43"/>
    <mergeCell ref="B2:G2"/>
    <mergeCell ref="B3:G3"/>
    <mergeCell ref="B4:B5"/>
    <mergeCell ref="C40:C41"/>
    <mergeCell ref="D40:D41"/>
    <mergeCell ref="B22:G22"/>
    <mergeCell ref="E34:G34"/>
    <mergeCell ref="C25:C26"/>
    <mergeCell ref="E4:G4"/>
    <mergeCell ref="B38:B45"/>
    <mergeCell ref="D4:D5"/>
    <mergeCell ref="C18:C20"/>
    <mergeCell ref="B6:G6"/>
    <mergeCell ref="B8:G8"/>
    <mergeCell ref="D34:D35"/>
    <mergeCell ref="B36:G36"/>
    <mergeCell ref="B21:G21"/>
    <mergeCell ref="F42:F43"/>
    <mergeCell ref="B1:F1"/>
    <mergeCell ref="B9:B20"/>
    <mergeCell ref="C9:C11"/>
    <mergeCell ref="C12:C14"/>
    <mergeCell ref="C15:C17"/>
    <mergeCell ref="E42:E43"/>
    <mergeCell ref="B32:G32"/>
    <mergeCell ref="E40:E41"/>
    <mergeCell ref="C4:C5"/>
    <mergeCell ref="F38:F39"/>
    <mergeCell ref="F40:F41"/>
    <mergeCell ref="B37:G37"/>
    <mergeCell ref="B27:G27"/>
    <mergeCell ref="B28:G28"/>
    <mergeCell ref="B29:G29"/>
    <mergeCell ref="G40:G41"/>
    <mergeCell ref="C38:C39"/>
    <mergeCell ref="F44:F45"/>
    <mergeCell ref="E38:E39"/>
    <mergeCell ref="G38:G39"/>
    <mergeCell ref="B31:G31"/>
    <mergeCell ref="B7:G7"/>
    <mergeCell ref="B23:B26"/>
    <mergeCell ref="C23:C24"/>
    <mergeCell ref="G42:G43"/>
    <mergeCell ref="G44:G45"/>
    <mergeCell ref="E44:E45"/>
  </mergeCells>
  <printOptions/>
  <pageMargins left="0.15748031496062992" right="0.1968503937007874" top="0.2362204724409449" bottom="0.2362204724409449" header="0.1968503937007874" footer="0.15748031496062992"/>
  <pageSetup horizontalDpi="600" verticalDpi="600" orientation="portrait" paperSize="9" r:id="rId1"/>
  <rowBreaks count="2" manualBreakCount="2">
    <brk id="33" max="6" man="1"/>
    <brk id="4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4"/>
  <sheetViews>
    <sheetView view="pageBreakPreview" zoomScale="60" zoomScalePageLayoutView="0" workbookViewId="0" topLeftCell="A11">
      <selection activeCell="G20" sqref="G20"/>
    </sheetView>
  </sheetViews>
  <sheetFormatPr defaultColWidth="9.00390625" defaultRowHeight="12.75"/>
  <cols>
    <col min="1" max="1" width="2.75390625" style="31" customWidth="1"/>
    <col min="2" max="2" width="6.875" style="31" customWidth="1"/>
    <col min="3" max="3" width="40.125" style="31" customWidth="1"/>
    <col min="4" max="4" width="23.625" style="31" customWidth="1"/>
    <col min="5" max="5" width="23.125" style="31" customWidth="1"/>
    <col min="6" max="16384" width="9.125" style="31" customWidth="1"/>
  </cols>
  <sheetData>
    <row r="1" spans="3:4" ht="18.75">
      <c r="C1" s="35"/>
      <c r="D1" s="35"/>
    </row>
    <row r="2" spans="3:5" ht="18.75">
      <c r="C2" s="35"/>
      <c r="D2" s="315" t="s">
        <v>146</v>
      </c>
      <c r="E2" s="315"/>
    </row>
    <row r="3" spans="3:5" ht="18.75">
      <c r="C3" s="35"/>
      <c r="D3" s="316" t="s">
        <v>101</v>
      </c>
      <c r="E3" s="316"/>
    </row>
    <row r="4" spans="3:5" ht="18.75">
      <c r="C4" s="35"/>
      <c r="D4" s="317" t="s">
        <v>263</v>
      </c>
      <c r="E4" s="317"/>
    </row>
    <row r="5" spans="3:5" ht="18.75">
      <c r="C5" s="35"/>
      <c r="D5" s="54"/>
      <c r="E5" s="54"/>
    </row>
    <row r="6" spans="3:5" ht="18.75">
      <c r="C6" s="35"/>
      <c r="D6" s="316" t="s">
        <v>115</v>
      </c>
      <c r="E6" s="316"/>
    </row>
    <row r="7" spans="3:5" ht="18.75">
      <c r="C7" s="35"/>
      <c r="D7" s="316" t="s">
        <v>116</v>
      </c>
      <c r="E7" s="316"/>
    </row>
    <row r="8" spans="3:5" ht="18.75">
      <c r="C8" s="35"/>
      <c r="D8" s="316" t="s">
        <v>117</v>
      </c>
      <c r="E8" s="316"/>
    </row>
    <row r="9" spans="3:5" ht="18.75">
      <c r="C9" s="35"/>
      <c r="D9" s="316" t="s">
        <v>118</v>
      </c>
      <c r="E9" s="316"/>
    </row>
    <row r="10" spans="4:5" ht="18.75">
      <c r="D10" s="316" t="s">
        <v>382</v>
      </c>
      <c r="E10" s="316"/>
    </row>
    <row r="12" spans="2:5" ht="18.75">
      <c r="B12" s="318" t="s">
        <v>102</v>
      </c>
      <c r="C12" s="318"/>
      <c r="D12" s="318"/>
      <c r="E12" s="318"/>
    </row>
    <row r="13" spans="2:5" ht="36.75" customHeight="1">
      <c r="B13" s="295" t="s">
        <v>383</v>
      </c>
      <c r="C13" s="295"/>
      <c r="D13" s="295"/>
      <c r="E13" s="295"/>
    </row>
    <row r="14" spans="2:5" ht="18.75">
      <c r="B14" s="318" t="s">
        <v>103</v>
      </c>
      <c r="C14" s="318"/>
      <c r="D14" s="318"/>
      <c r="E14" s="318"/>
    </row>
    <row r="15" spans="2:5" ht="18.75">
      <c r="B15" s="318" t="s">
        <v>119</v>
      </c>
      <c r="C15" s="318"/>
      <c r="D15" s="318"/>
      <c r="E15" s="318"/>
    </row>
    <row r="17" spans="2:5" ht="39" customHeight="1">
      <c r="B17" s="32" t="s">
        <v>104</v>
      </c>
      <c r="C17" s="32" t="s">
        <v>120</v>
      </c>
      <c r="D17" s="73" t="s">
        <v>121</v>
      </c>
      <c r="E17" s="181" t="s">
        <v>122</v>
      </c>
    </row>
    <row r="18" spans="2:5" ht="39" customHeight="1">
      <c r="B18" s="199">
        <v>1</v>
      </c>
      <c r="C18" s="197" t="s">
        <v>123</v>
      </c>
      <c r="D18" s="198" t="s">
        <v>124</v>
      </c>
      <c r="E18" s="47">
        <v>4.8</v>
      </c>
    </row>
    <row r="19" spans="2:5" ht="39.75" customHeight="1">
      <c r="B19" s="33">
        <v>2</v>
      </c>
      <c r="C19" s="34" t="s">
        <v>125</v>
      </c>
      <c r="D19" s="32" t="s">
        <v>124</v>
      </c>
      <c r="E19" s="47">
        <v>5.32</v>
      </c>
    </row>
    <row r="20" spans="2:5" ht="42.75" customHeight="1">
      <c r="B20" s="40">
        <v>3</v>
      </c>
      <c r="C20" s="41" t="s">
        <v>126</v>
      </c>
      <c r="D20" s="38" t="s">
        <v>124</v>
      </c>
      <c r="E20" s="47">
        <v>5.84</v>
      </c>
    </row>
    <row r="21" spans="2:5" ht="24.75" customHeight="1">
      <c r="B21" s="40">
        <v>4</v>
      </c>
      <c r="C21" s="200" t="s">
        <v>384</v>
      </c>
      <c r="D21" s="38"/>
      <c r="E21" s="47"/>
    </row>
    <row r="22" spans="2:5" ht="37.5">
      <c r="B22" s="201" t="s">
        <v>385</v>
      </c>
      <c r="C22" s="191" t="s">
        <v>388</v>
      </c>
      <c r="D22" s="38" t="s">
        <v>124</v>
      </c>
      <c r="E22" s="189">
        <v>7.5</v>
      </c>
    </row>
    <row r="23" spans="2:5" ht="37.5">
      <c r="B23" s="201" t="s">
        <v>386</v>
      </c>
      <c r="C23" s="191" t="s">
        <v>110</v>
      </c>
      <c r="D23" s="38" t="s">
        <v>124</v>
      </c>
      <c r="E23" s="189">
        <v>6.8</v>
      </c>
    </row>
    <row r="24" spans="2:5" ht="37.5">
      <c r="B24" s="201" t="s">
        <v>387</v>
      </c>
      <c r="C24" s="191" t="s">
        <v>389</v>
      </c>
      <c r="D24" s="38" t="s">
        <v>124</v>
      </c>
      <c r="E24" s="189">
        <v>6.7</v>
      </c>
    </row>
  </sheetData>
  <sheetProtection/>
  <mergeCells count="12">
    <mergeCell ref="B14:E14"/>
    <mergeCell ref="B15:E15"/>
    <mergeCell ref="D7:E7"/>
    <mergeCell ref="D8:E8"/>
    <mergeCell ref="D9:E9"/>
    <mergeCell ref="D10:E10"/>
    <mergeCell ref="D2:E2"/>
    <mergeCell ref="D3:E3"/>
    <mergeCell ref="D4:E4"/>
    <mergeCell ref="D6:E6"/>
    <mergeCell ref="B12:E12"/>
    <mergeCell ref="B13:E13"/>
  </mergeCells>
  <printOptions/>
  <pageMargins left="0.15748031496062992" right="0.1968503937007874" top="0.2755905511811024" bottom="0.7480314960629921" header="0.196850393700787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4"/>
  <sheetViews>
    <sheetView view="pageBreakPreview" zoomScale="60" zoomScalePageLayoutView="0" workbookViewId="0" topLeftCell="A1">
      <selection activeCell="C17" sqref="C17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5.375" style="31" customWidth="1"/>
    <col min="4" max="4" width="31.125" style="31" customWidth="1"/>
    <col min="5" max="16384" width="9.125" style="31" customWidth="1"/>
  </cols>
  <sheetData>
    <row r="1" spans="2:8" ht="33" customHeight="1">
      <c r="B1" s="321" t="s">
        <v>127</v>
      </c>
      <c r="C1" s="321"/>
      <c r="D1" s="321"/>
      <c r="E1" s="42"/>
      <c r="F1" s="42"/>
      <c r="G1" s="42"/>
      <c r="H1" s="42"/>
    </row>
    <row r="3" spans="2:4" ht="49.5" customHeight="1">
      <c r="B3" s="33" t="s">
        <v>128</v>
      </c>
      <c r="C3" s="33" t="s">
        <v>129</v>
      </c>
      <c r="D3" s="38" t="s">
        <v>130</v>
      </c>
    </row>
    <row r="4" spans="2:4" ht="24" customHeight="1">
      <c r="B4" s="319" t="s">
        <v>131</v>
      </c>
      <c r="C4" s="43" t="s">
        <v>132</v>
      </c>
      <c r="D4" s="47">
        <f>(13*2.5%)+13</f>
        <v>13.325</v>
      </c>
    </row>
    <row r="5" spans="2:4" ht="18.75" customHeight="1">
      <c r="B5" s="322"/>
      <c r="C5" s="43" t="s">
        <v>133</v>
      </c>
      <c r="D5" s="47">
        <v>1.8</v>
      </c>
    </row>
    <row r="6" spans="2:4" ht="18.75" customHeight="1">
      <c r="B6" s="320"/>
      <c r="C6" s="43" t="s">
        <v>134</v>
      </c>
      <c r="D6" s="47">
        <v>54</v>
      </c>
    </row>
    <row r="7" spans="2:4" ht="18.75">
      <c r="B7" s="319" t="s">
        <v>304</v>
      </c>
      <c r="C7" s="43" t="s">
        <v>135</v>
      </c>
      <c r="D7" s="39"/>
    </row>
    <row r="8" spans="2:4" ht="18.75">
      <c r="B8" s="322"/>
      <c r="C8" s="43" t="s">
        <v>133</v>
      </c>
      <c r="D8" s="47">
        <f>(1.1*2.5%)+1.1</f>
        <v>1.1275000000000002</v>
      </c>
    </row>
    <row r="9" spans="2:4" ht="18.75">
      <c r="B9" s="320"/>
      <c r="C9" s="43" t="s">
        <v>134</v>
      </c>
      <c r="D9" s="47">
        <f>(22*2.5%)+22</f>
        <v>22.55</v>
      </c>
    </row>
    <row r="10" spans="2:4" ht="18.75">
      <c r="B10" s="319" t="s">
        <v>136</v>
      </c>
      <c r="C10" s="43" t="s">
        <v>133</v>
      </c>
      <c r="D10" s="47">
        <f>(0.35*2.5%)+0.35</f>
        <v>0.35874999999999996</v>
      </c>
    </row>
    <row r="11" spans="2:4" ht="21.75" customHeight="1">
      <c r="B11" s="320"/>
      <c r="C11" s="43" t="s">
        <v>134</v>
      </c>
      <c r="D11" s="47">
        <f>(13*2.5%)+13</f>
        <v>13.325</v>
      </c>
    </row>
    <row r="12" spans="2:4" ht="27.75" customHeight="1">
      <c r="B12" s="41" t="s">
        <v>137</v>
      </c>
      <c r="C12" s="43" t="s">
        <v>134</v>
      </c>
      <c r="D12" s="47">
        <f>(0.9*2.5%)+0.9</f>
        <v>0.9225</v>
      </c>
    </row>
    <row r="13" spans="2:4" ht="21" customHeight="1">
      <c r="B13" s="41" t="s">
        <v>264</v>
      </c>
      <c r="C13" s="43" t="s">
        <v>265</v>
      </c>
      <c r="D13" s="43">
        <f>(250*2.5%)+250</f>
        <v>256.25</v>
      </c>
    </row>
    <row r="14" spans="2:3" ht="18.75">
      <c r="B14" s="44"/>
      <c r="C14" s="45"/>
    </row>
  </sheetData>
  <sheetProtection/>
  <mergeCells count="4">
    <mergeCell ref="B10:B11"/>
    <mergeCell ref="B1:D1"/>
    <mergeCell ref="B4:B6"/>
    <mergeCell ref="B7:B9"/>
  </mergeCells>
  <printOptions/>
  <pageMargins left="0.16" right="0.21" top="0.35" bottom="0.75" header="0.16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.875" style="48" customWidth="1"/>
    <col min="2" max="2" width="5.75390625" style="48" customWidth="1"/>
    <col min="3" max="3" width="55.125" style="48" customWidth="1"/>
    <col min="4" max="4" width="10.125" style="48" customWidth="1"/>
    <col min="5" max="5" width="19.75390625" style="48" customWidth="1"/>
    <col min="6" max="16384" width="9.125" style="48" customWidth="1"/>
  </cols>
  <sheetData>
    <row r="1" spans="2:5" ht="23.25" customHeight="1">
      <c r="B1" s="295" t="s">
        <v>151</v>
      </c>
      <c r="C1" s="295"/>
      <c r="D1" s="295"/>
      <c r="E1" s="295"/>
    </row>
    <row r="2" ht="22.5" customHeight="1"/>
    <row r="3" spans="2:5" ht="45" customHeight="1">
      <c r="B3" s="49" t="s">
        <v>104</v>
      </c>
      <c r="C3" s="49" t="s">
        <v>152</v>
      </c>
      <c r="D3" s="49" t="s">
        <v>129</v>
      </c>
      <c r="E3" s="186" t="s">
        <v>130</v>
      </c>
    </row>
    <row r="4" spans="2:5" ht="21" customHeight="1">
      <c r="B4" s="49">
        <v>1</v>
      </c>
      <c r="C4" s="183" t="s">
        <v>310</v>
      </c>
      <c r="D4" s="184" t="s">
        <v>153</v>
      </c>
      <c r="E4" s="185">
        <v>33</v>
      </c>
    </row>
    <row r="5" spans="2:5" ht="36" customHeight="1">
      <c r="B5" s="49">
        <v>2</v>
      </c>
      <c r="C5" s="183" t="s">
        <v>311</v>
      </c>
      <c r="D5" s="184" t="s">
        <v>153</v>
      </c>
      <c r="E5" s="185">
        <v>39</v>
      </c>
    </row>
    <row r="6" spans="2:5" ht="25.5" customHeight="1">
      <c r="B6" s="49">
        <v>3</v>
      </c>
      <c r="C6" s="183" t="s">
        <v>154</v>
      </c>
      <c r="D6" s="184" t="s">
        <v>153</v>
      </c>
      <c r="E6" s="185">
        <v>24</v>
      </c>
    </row>
    <row r="7" spans="2:5" ht="25.5" customHeight="1">
      <c r="B7" s="49">
        <v>4</v>
      </c>
      <c r="C7" s="183" t="s">
        <v>155</v>
      </c>
      <c r="D7" s="184" t="s">
        <v>153</v>
      </c>
      <c r="E7" s="185">
        <v>26</v>
      </c>
    </row>
    <row r="8" spans="2:5" ht="22.5" customHeight="1">
      <c r="B8" s="49">
        <v>5</v>
      </c>
      <c r="C8" s="183" t="s">
        <v>156</v>
      </c>
      <c r="D8" s="184" t="s">
        <v>153</v>
      </c>
      <c r="E8" s="185">
        <v>30</v>
      </c>
    </row>
    <row r="9" spans="2:5" ht="22.5" customHeight="1">
      <c r="B9" s="49">
        <v>6</v>
      </c>
      <c r="C9" s="183" t="s">
        <v>157</v>
      </c>
      <c r="D9" s="184" t="s">
        <v>153</v>
      </c>
      <c r="E9" s="185">
        <v>29</v>
      </c>
    </row>
    <row r="10" spans="2:5" ht="24" customHeight="1">
      <c r="B10" s="49">
        <v>7</v>
      </c>
      <c r="C10" s="183" t="s">
        <v>158</v>
      </c>
      <c r="D10" s="184" t="s">
        <v>153</v>
      </c>
      <c r="E10" s="185">
        <v>31</v>
      </c>
    </row>
    <row r="11" spans="2:5" ht="24" customHeight="1">
      <c r="B11" s="49">
        <v>8</v>
      </c>
      <c r="C11" s="190" t="s">
        <v>294</v>
      </c>
      <c r="D11" s="184" t="s">
        <v>153</v>
      </c>
      <c r="E11" s="185">
        <v>37</v>
      </c>
    </row>
    <row r="12" spans="2:5" ht="39" customHeight="1">
      <c r="B12" s="49">
        <v>9</v>
      </c>
      <c r="C12" s="183" t="s">
        <v>159</v>
      </c>
      <c r="D12" s="184" t="s">
        <v>153</v>
      </c>
      <c r="E12" s="185">
        <v>37</v>
      </c>
    </row>
    <row r="13" spans="2:5" ht="21" customHeight="1">
      <c r="B13" s="49">
        <v>10</v>
      </c>
      <c r="C13" s="183" t="s">
        <v>160</v>
      </c>
      <c r="D13" s="184" t="s">
        <v>153</v>
      </c>
      <c r="E13" s="185">
        <v>30</v>
      </c>
    </row>
    <row r="14" spans="2:5" ht="24" customHeight="1">
      <c r="B14" s="49">
        <v>11</v>
      </c>
      <c r="C14" s="183" t="s">
        <v>161</v>
      </c>
      <c r="D14" s="184" t="s">
        <v>153</v>
      </c>
      <c r="E14" s="185">
        <v>25</v>
      </c>
    </row>
    <row r="15" spans="2:5" ht="36.75" customHeight="1">
      <c r="B15" s="49">
        <v>12</v>
      </c>
      <c r="C15" s="183" t="s">
        <v>267</v>
      </c>
      <c r="D15" s="184" t="s">
        <v>153</v>
      </c>
      <c r="E15" s="185">
        <v>37</v>
      </c>
    </row>
    <row r="16" spans="2:5" ht="36.75" customHeight="1">
      <c r="B16" s="49">
        <v>13</v>
      </c>
      <c r="C16" s="183" t="s">
        <v>266</v>
      </c>
      <c r="D16" s="184" t="s">
        <v>153</v>
      </c>
      <c r="E16" s="185">
        <v>40</v>
      </c>
    </row>
    <row r="17" spans="2:5" ht="20.25" customHeight="1">
      <c r="B17" s="49">
        <v>14</v>
      </c>
      <c r="C17" s="183" t="s">
        <v>162</v>
      </c>
      <c r="D17" s="184" t="s">
        <v>153</v>
      </c>
      <c r="E17" s="185">
        <v>44</v>
      </c>
    </row>
    <row r="18" spans="2:5" ht="22.5" customHeight="1">
      <c r="B18" s="49">
        <v>15</v>
      </c>
      <c r="C18" s="183" t="s">
        <v>163</v>
      </c>
      <c r="D18" s="184" t="s">
        <v>153</v>
      </c>
      <c r="E18" s="185">
        <v>20</v>
      </c>
    </row>
    <row r="19" spans="2:5" ht="36.75" customHeight="1">
      <c r="B19" s="49">
        <v>16</v>
      </c>
      <c r="C19" s="183" t="s">
        <v>164</v>
      </c>
      <c r="D19" s="184" t="s">
        <v>153</v>
      </c>
      <c r="E19" s="185">
        <v>25</v>
      </c>
    </row>
    <row r="20" spans="2:5" ht="25.5" customHeight="1">
      <c r="B20" s="49">
        <v>17</v>
      </c>
      <c r="C20" s="183" t="s">
        <v>165</v>
      </c>
      <c r="D20" s="184" t="s">
        <v>153</v>
      </c>
      <c r="E20" s="185">
        <v>25</v>
      </c>
    </row>
    <row r="21" spans="2:5" ht="21.75" customHeight="1">
      <c r="B21" s="49">
        <v>18</v>
      </c>
      <c r="C21" s="183" t="s">
        <v>166</v>
      </c>
      <c r="D21" s="184" t="s">
        <v>153</v>
      </c>
      <c r="E21" s="185">
        <v>20</v>
      </c>
    </row>
    <row r="22" spans="2:5" ht="36" customHeight="1">
      <c r="B22" s="49">
        <v>19</v>
      </c>
      <c r="C22" s="183" t="s">
        <v>380</v>
      </c>
      <c r="D22" s="184" t="s">
        <v>153</v>
      </c>
      <c r="E22" s="185">
        <v>20</v>
      </c>
    </row>
  </sheetData>
  <sheetProtection/>
  <mergeCells count="1">
    <mergeCell ref="B1:E1"/>
  </mergeCells>
  <printOptions/>
  <pageMargins left="0.16" right="0.21" top="0.28" bottom="0.75" header="0.16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.25390625" style="31" customWidth="1"/>
    <col min="2" max="2" width="4.625" style="54" customWidth="1"/>
    <col min="3" max="3" width="52.75390625" style="31" customWidth="1"/>
    <col min="4" max="4" width="10.125" style="54" customWidth="1"/>
    <col min="5" max="5" width="25.125" style="54" customWidth="1"/>
    <col min="6" max="16384" width="9.125" style="31" customWidth="1"/>
  </cols>
  <sheetData>
    <row r="1" spans="2:9" ht="21.75" customHeight="1">
      <c r="B1" s="321" t="s">
        <v>151</v>
      </c>
      <c r="C1" s="321"/>
      <c r="D1" s="321"/>
      <c r="E1" s="321"/>
      <c r="F1" s="42"/>
      <c r="G1" s="42"/>
      <c r="H1" s="42"/>
      <c r="I1" s="42"/>
    </row>
    <row r="3" spans="2:5" ht="37.5" customHeight="1">
      <c r="B3" s="38" t="s">
        <v>104</v>
      </c>
      <c r="C3" s="40" t="s">
        <v>128</v>
      </c>
      <c r="D3" s="38" t="s">
        <v>129</v>
      </c>
      <c r="E3" s="38" t="s">
        <v>130</v>
      </c>
    </row>
    <row r="4" spans="2:5" ht="19.5" customHeight="1">
      <c r="B4" s="329" t="s">
        <v>168</v>
      </c>
      <c r="C4" s="329"/>
      <c r="D4" s="329"/>
      <c r="E4" s="329"/>
    </row>
    <row r="5" spans="2:5" ht="19.5" customHeight="1">
      <c r="B5" s="57">
        <v>1</v>
      </c>
      <c r="C5" s="58" t="s">
        <v>331</v>
      </c>
      <c r="D5" s="195"/>
      <c r="E5" s="196">
        <v>7</v>
      </c>
    </row>
    <row r="6" spans="2:5" ht="18" customHeight="1">
      <c r="B6" s="43">
        <v>2</v>
      </c>
      <c r="C6" s="41" t="s">
        <v>169</v>
      </c>
      <c r="D6" s="43" t="s">
        <v>167</v>
      </c>
      <c r="E6" s="47">
        <v>3.5</v>
      </c>
    </row>
    <row r="7" spans="2:5" ht="18.75">
      <c r="B7" s="57">
        <v>3</v>
      </c>
      <c r="C7" s="41" t="s">
        <v>170</v>
      </c>
      <c r="D7" s="43" t="s">
        <v>167</v>
      </c>
      <c r="E7" s="47">
        <v>4</v>
      </c>
    </row>
    <row r="8" spans="2:5" ht="18.75">
      <c r="B8" s="43">
        <v>4</v>
      </c>
      <c r="C8" s="41" t="s">
        <v>312</v>
      </c>
      <c r="D8" s="43" t="s">
        <v>167</v>
      </c>
      <c r="E8" s="47">
        <v>6</v>
      </c>
    </row>
    <row r="9" spans="2:5" ht="18.75">
      <c r="B9" s="57">
        <v>5</v>
      </c>
      <c r="C9" s="41" t="s">
        <v>171</v>
      </c>
      <c r="D9" s="43" t="s">
        <v>167</v>
      </c>
      <c r="E9" s="47">
        <v>4.5</v>
      </c>
    </row>
    <row r="10" spans="2:5" ht="18.75">
      <c r="B10" s="43">
        <v>6</v>
      </c>
      <c r="C10" s="36" t="s">
        <v>313</v>
      </c>
      <c r="D10" s="37" t="s">
        <v>167</v>
      </c>
      <c r="E10" s="52">
        <v>5</v>
      </c>
    </row>
    <row r="11" spans="2:5" ht="18.75">
      <c r="B11" s="57">
        <v>7</v>
      </c>
      <c r="C11" s="36" t="s">
        <v>314</v>
      </c>
      <c r="D11" s="37" t="s">
        <v>167</v>
      </c>
      <c r="E11" s="52">
        <v>7</v>
      </c>
    </row>
    <row r="12" spans="2:5" ht="18.75">
      <c r="B12" s="43">
        <v>8</v>
      </c>
      <c r="C12" s="66" t="s">
        <v>315</v>
      </c>
      <c r="D12" s="37" t="s">
        <v>167</v>
      </c>
      <c r="E12" s="52">
        <v>4</v>
      </c>
    </row>
    <row r="13" spans="2:5" ht="18.75">
      <c r="B13" s="57">
        <v>9</v>
      </c>
      <c r="C13" s="66" t="s">
        <v>316</v>
      </c>
      <c r="D13" s="37" t="s">
        <v>167</v>
      </c>
      <c r="E13" s="52">
        <v>6</v>
      </c>
    </row>
    <row r="14" spans="2:5" ht="18.75">
      <c r="B14" s="43">
        <v>10</v>
      </c>
      <c r="C14" s="36" t="s">
        <v>172</v>
      </c>
      <c r="D14" s="37" t="s">
        <v>167</v>
      </c>
      <c r="E14" s="52">
        <v>7</v>
      </c>
    </row>
    <row r="15" spans="2:5" ht="18.75">
      <c r="B15" s="57">
        <v>11</v>
      </c>
      <c r="C15" s="36" t="s">
        <v>317</v>
      </c>
      <c r="D15" s="37" t="s">
        <v>167</v>
      </c>
      <c r="E15" s="52">
        <v>8</v>
      </c>
    </row>
    <row r="16" spans="2:5" ht="18.75">
      <c r="B16" s="43">
        <v>12</v>
      </c>
      <c r="C16" s="36" t="s">
        <v>173</v>
      </c>
      <c r="D16" s="37" t="s">
        <v>167</v>
      </c>
      <c r="E16" s="52">
        <v>5</v>
      </c>
    </row>
    <row r="17" spans="2:5" ht="18.75">
      <c r="B17" s="57">
        <v>13</v>
      </c>
      <c r="C17" s="36" t="s">
        <v>174</v>
      </c>
      <c r="D17" s="37" t="s">
        <v>167</v>
      </c>
      <c r="E17" s="52">
        <v>6</v>
      </c>
    </row>
    <row r="18" spans="2:5" ht="18.75">
      <c r="B18" s="43">
        <v>14</v>
      </c>
      <c r="C18" s="36" t="s">
        <v>175</v>
      </c>
      <c r="D18" s="37" t="s">
        <v>167</v>
      </c>
      <c r="E18" s="52">
        <v>8</v>
      </c>
    </row>
    <row r="19" spans="2:5" ht="18.75">
      <c r="B19" s="57">
        <v>15</v>
      </c>
      <c r="C19" s="36" t="s">
        <v>332</v>
      </c>
      <c r="D19" s="37" t="s">
        <v>167</v>
      </c>
      <c r="E19" s="52">
        <v>6.5</v>
      </c>
    </row>
    <row r="20" spans="2:5" ht="18.75">
      <c r="B20" s="43">
        <v>16</v>
      </c>
      <c r="C20" s="36" t="s">
        <v>333</v>
      </c>
      <c r="D20" s="37" t="s">
        <v>167</v>
      </c>
      <c r="E20" s="52">
        <v>8</v>
      </c>
    </row>
    <row r="21" spans="2:5" ht="18.75">
      <c r="B21" s="57">
        <v>17</v>
      </c>
      <c r="C21" s="36" t="s">
        <v>334</v>
      </c>
      <c r="D21" s="37" t="s">
        <v>167</v>
      </c>
      <c r="E21" s="52">
        <v>5</v>
      </c>
    </row>
    <row r="22" spans="2:5" ht="18.75">
      <c r="B22" s="43">
        <v>18</v>
      </c>
      <c r="C22" s="36" t="s">
        <v>335</v>
      </c>
      <c r="D22" s="37" t="s">
        <v>167</v>
      </c>
      <c r="E22" s="52">
        <v>7.5</v>
      </c>
    </row>
    <row r="23" spans="2:5" ht="18.75">
      <c r="B23" s="57">
        <v>19</v>
      </c>
      <c r="C23" s="36" t="s">
        <v>176</v>
      </c>
      <c r="D23" s="37" t="s">
        <v>167</v>
      </c>
      <c r="E23" s="52">
        <v>5</v>
      </c>
    </row>
    <row r="24" spans="2:5" ht="18.75">
      <c r="B24" s="43">
        <v>20</v>
      </c>
      <c r="C24" s="36" t="s">
        <v>318</v>
      </c>
      <c r="D24" s="37" t="s">
        <v>167</v>
      </c>
      <c r="E24" s="52">
        <v>8</v>
      </c>
    </row>
    <row r="25" spans="2:5" ht="18.75">
      <c r="B25" s="57">
        <v>21</v>
      </c>
      <c r="C25" s="36" t="s">
        <v>319</v>
      </c>
      <c r="D25" s="37" t="s">
        <v>167</v>
      </c>
      <c r="E25" s="52">
        <v>5</v>
      </c>
    </row>
    <row r="26" spans="2:5" ht="18.75">
      <c r="B26" s="43">
        <v>22</v>
      </c>
      <c r="C26" s="36" t="s">
        <v>320</v>
      </c>
      <c r="D26" s="37" t="s">
        <v>167</v>
      </c>
      <c r="E26" s="52">
        <v>9.5</v>
      </c>
    </row>
    <row r="27" spans="2:5" ht="18.75">
      <c r="B27" s="57">
        <v>23</v>
      </c>
      <c r="C27" s="36" t="s">
        <v>321</v>
      </c>
      <c r="D27" s="37" t="s">
        <v>167</v>
      </c>
      <c r="E27" s="52">
        <v>5</v>
      </c>
    </row>
    <row r="28" spans="2:5" ht="18.75">
      <c r="B28" s="43">
        <v>24</v>
      </c>
      <c r="C28" s="36" t="s">
        <v>177</v>
      </c>
      <c r="D28" s="37" t="s">
        <v>167</v>
      </c>
      <c r="E28" s="52">
        <v>7.5</v>
      </c>
    </row>
    <row r="29" spans="2:5" ht="18.75">
      <c r="B29" s="57">
        <v>25</v>
      </c>
      <c r="C29" s="36" t="s">
        <v>178</v>
      </c>
      <c r="D29" s="37" t="s">
        <v>167</v>
      </c>
      <c r="E29" s="52">
        <v>5</v>
      </c>
    </row>
    <row r="30" spans="2:5" ht="18.75">
      <c r="B30" s="43">
        <v>26</v>
      </c>
      <c r="C30" s="36" t="s">
        <v>179</v>
      </c>
      <c r="D30" s="37" t="s">
        <v>167</v>
      </c>
      <c r="E30" s="52">
        <v>4</v>
      </c>
    </row>
    <row r="31" spans="2:5" ht="18.75">
      <c r="B31" s="57">
        <v>27</v>
      </c>
      <c r="C31" s="66" t="s">
        <v>322</v>
      </c>
      <c r="D31" s="37" t="s">
        <v>167</v>
      </c>
      <c r="E31" s="52">
        <v>7.5</v>
      </c>
    </row>
    <row r="32" spans="2:5" ht="18.75">
      <c r="B32" s="43">
        <v>28</v>
      </c>
      <c r="C32" s="67" t="s">
        <v>323</v>
      </c>
      <c r="D32" s="37" t="s">
        <v>167</v>
      </c>
      <c r="E32" s="52">
        <v>5</v>
      </c>
    </row>
    <row r="33" spans="2:5" ht="18.75">
      <c r="B33" s="57">
        <v>29</v>
      </c>
      <c r="C33" s="67" t="s">
        <v>324</v>
      </c>
      <c r="D33" s="37" t="s">
        <v>167</v>
      </c>
      <c r="E33" s="52">
        <v>8</v>
      </c>
    </row>
    <row r="34" spans="2:5" ht="18.75">
      <c r="B34" s="43">
        <v>30</v>
      </c>
      <c r="C34" s="36" t="s">
        <v>180</v>
      </c>
      <c r="D34" s="37" t="s">
        <v>167</v>
      </c>
      <c r="E34" s="52">
        <v>5</v>
      </c>
    </row>
    <row r="35" spans="2:5" ht="18.75">
      <c r="B35" s="57">
        <v>31</v>
      </c>
      <c r="C35" s="36" t="s">
        <v>325</v>
      </c>
      <c r="D35" s="37" t="s">
        <v>167</v>
      </c>
      <c r="E35" s="52">
        <v>8</v>
      </c>
    </row>
    <row r="36" spans="2:5" ht="18.75">
      <c r="B36" s="43">
        <v>32</v>
      </c>
      <c r="C36" s="36" t="s">
        <v>181</v>
      </c>
      <c r="D36" s="37" t="s">
        <v>167</v>
      </c>
      <c r="E36" s="52">
        <v>6</v>
      </c>
    </row>
    <row r="37" spans="2:5" ht="18.75">
      <c r="B37" s="57">
        <v>33</v>
      </c>
      <c r="C37" s="36" t="s">
        <v>326</v>
      </c>
      <c r="D37" s="37" t="s">
        <v>167</v>
      </c>
      <c r="E37" s="52">
        <v>8</v>
      </c>
    </row>
    <row r="38" spans="2:5" ht="18.75">
      <c r="B38" s="43">
        <v>34</v>
      </c>
      <c r="C38" s="36" t="s">
        <v>336</v>
      </c>
      <c r="D38" s="37" t="s">
        <v>167</v>
      </c>
      <c r="E38" s="52">
        <v>6</v>
      </c>
    </row>
    <row r="39" spans="2:5" ht="18.75">
      <c r="B39" s="57">
        <v>35</v>
      </c>
      <c r="C39" s="36" t="s">
        <v>337</v>
      </c>
      <c r="D39" s="37" t="s">
        <v>167</v>
      </c>
      <c r="E39" s="52">
        <v>6</v>
      </c>
    </row>
    <row r="40" spans="2:5" ht="18.75">
      <c r="B40" s="43">
        <v>36</v>
      </c>
      <c r="C40" s="36" t="s">
        <v>338</v>
      </c>
      <c r="D40" s="37" t="s">
        <v>167</v>
      </c>
      <c r="E40" s="52">
        <v>8</v>
      </c>
    </row>
    <row r="41" spans="2:5" ht="18.75">
      <c r="B41" s="57">
        <v>37</v>
      </c>
      <c r="C41" s="66" t="s">
        <v>275</v>
      </c>
      <c r="D41" s="37" t="s">
        <v>167</v>
      </c>
      <c r="E41" s="188">
        <v>4</v>
      </c>
    </row>
    <row r="42" spans="2:5" ht="37.5" customHeight="1">
      <c r="B42" s="38" t="s">
        <v>104</v>
      </c>
      <c r="C42" s="40" t="s">
        <v>128</v>
      </c>
      <c r="D42" s="38" t="s">
        <v>129</v>
      </c>
      <c r="E42" s="38" t="s">
        <v>130</v>
      </c>
    </row>
    <row r="43" spans="2:5" ht="18.75">
      <c r="B43" s="43">
        <v>38</v>
      </c>
      <c r="C43" s="66" t="s">
        <v>327</v>
      </c>
      <c r="D43" s="37" t="s">
        <v>167</v>
      </c>
      <c r="E43" s="188">
        <v>5</v>
      </c>
    </row>
    <row r="44" spans="2:5" ht="18.75">
      <c r="B44" s="57">
        <v>39</v>
      </c>
      <c r="C44" s="67" t="s">
        <v>245</v>
      </c>
      <c r="D44" s="37" t="s">
        <v>167</v>
      </c>
      <c r="E44" s="52">
        <v>6</v>
      </c>
    </row>
    <row r="45" spans="2:5" ht="18.75">
      <c r="B45" s="43">
        <v>40</v>
      </c>
      <c r="C45" s="36" t="s">
        <v>328</v>
      </c>
      <c r="D45" s="37" t="s">
        <v>167</v>
      </c>
      <c r="E45" s="52">
        <v>6</v>
      </c>
    </row>
    <row r="46" spans="2:5" ht="18.75">
      <c r="B46" s="57">
        <v>41</v>
      </c>
      <c r="C46" s="36" t="s">
        <v>182</v>
      </c>
      <c r="D46" s="37" t="s">
        <v>167</v>
      </c>
      <c r="E46" s="52">
        <v>4.5</v>
      </c>
    </row>
    <row r="47" spans="2:5" ht="18.75">
      <c r="B47" s="43">
        <v>42</v>
      </c>
      <c r="C47" s="36" t="s">
        <v>329</v>
      </c>
      <c r="D47" s="37" t="s">
        <v>167</v>
      </c>
      <c r="E47" s="52">
        <v>6</v>
      </c>
    </row>
    <row r="48" spans="2:5" ht="18.75">
      <c r="B48" s="57">
        <v>43</v>
      </c>
      <c r="C48" s="36" t="s">
        <v>183</v>
      </c>
      <c r="D48" s="37" t="s">
        <v>167</v>
      </c>
      <c r="E48" s="52">
        <v>4.5</v>
      </c>
    </row>
    <row r="49" spans="2:5" ht="18.75">
      <c r="B49" s="43">
        <v>44</v>
      </c>
      <c r="C49" s="66" t="s">
        <v>276</v>
      </c>
      <c r="D49" s="37" t="s">
        <v>167</v>
      </c>
      <c r="E49" s="52">
        <v>6</v>
      </c>
    </row>
    <row r="50" spans="2:5" ht="18.75">
      <c r="B50" s="57">
        <v>45</v>
      </c>
      <c r="C50" s="66" t="s">
        <v>339</v>
      </c>
      <c r="D50" s="37" t="s">
        <v>167</v>
      </c>
      <c r="E50" s="52">
        <v>7</v>
      </c>
    </row>
    <row r="51" spans="2:5" ht="18.75">
      <c r="B51" s="43">
        <v>46</v>
      </c>
      <c r="C51" s="36" t="s">
        <v>184</v>
      </c>
      <c r="D51" s="37" t="s">
        <v>167</v>
      </c>
      <c r="E51" s="52">
        <v>5</v>
      </c>
    </row>
    <row r="52" spans="2:5" ht="18.75">
      <c r="B52" s="57">
        <v>47</v>
      </c>
      <c r="C52" s="66" t="s">
        <v>277</v>
      </c>
      <c r="D52" s="37" t="s">
        <v>167</v>
      </c>
      <c r="E52" s="52">
        <v>6.5</v>
      </c>
    </row>
    <row r="53" spans="2:5" ht="18.75">
      <c r="B53" s="43">
        <v>48</v>
      </c>
      <c r="C53" s="36" t="s">
        <v>185</v>
      </c>
      <c r="D53" s="37" t="s">
        <v>167</v>
      </c>
      <c r="E53" s="52">
        <v>6.5</v>
      </c>
    </row>
    <row r="54" spans="2:5" ht="18.75">
      <c r="B54" s="57">
        <v>49</v>
      </c>
      <c r="C54" s="36" t="s">
        <v>186</v>
      </c>
      <c r="D54" s="37" t="s">
        <v>167</v>
      </c>
      <c r="E54" s="52">
        <v>5</v>
      </c>
    </row>
    <row r="55" spans="2:5" ht="18.75">
      <c r="B55" s="43">
        <v>50</v>
      </c>
      <c r="C55" s="36" t="s">
        <v>340</v>
      </c>
      <c r="D55" s="37" t="s">
        <v>167</v>
      </c>
      <c r="E55" s="52">
        <v>6.5</v>
      </c>
    </row>
    <row r="56" spans="2:5" ht="18.75">
      <c r="B56" s="57">
        <v>51</v>
      </c>
      <c r="C56" s="36" t="s">
        <v>187</v>
      </c>
      <c r="D56" s="37" t="s">
        <v>167</v>
      </c>
      <c r="E56" s="52">
        <v>4</v>
      </c>
    </row>
    <row r="57" spans="2:5" ht="18.75">
      <c r="B57" s="43">
        <v>52</v>
      </c>
      <c r="C57" s="36" t="s">
        <v>330</v>
      </c>
      <c r="D57" s="37" t="s">
        <v>167</v>
      </c>
      <c r="E57" s="52">
        <v>9</v>
      </c>
    </row>
  </sheetData>
  <sheetProtection/>
  <mergeCells count="2">
    <mergeCell ref="B1:E1"/>
    <mergeCell ref="B4:E4"/>
  </mergeCells>
  <printOptions/>
  <pageMargins left="0.16" right="0.21" top="0.25" bottom="0.27" header="0.16" footer="0.1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.875" style="31" customWidth="1"/>
    <col min="2" max="2" width="4.625" style="54" customWidth="1"/>
    <col min="3" max="3" width="54.00390625" style="31" customWidth="1"/>
    <col min="4" max="4" width="10.00390625" style="54" customWidth="1"/>
    <col min="5" max="5" width="24.125" style="54" customWidth="1"/>
    <col min="6" max="16384" width="9.125" style="31" customWidth="1"/>
  </cols>
  <sheetData>
    <row r="1" spans="2:9" ht="26.25" customHeight="1">
      <c r="B1" s="321" t="s">
        <v>151</v>
      </c>
      <c r="C1" s="321"/>
      <c r="D1" s="321"/>
      <c r="E1" s="321"/>
      <c r="F1" s="42"/>
      <c r="G1" s="42"/>
      <c r="H1" s="42"/>
      <c r="I1" s="42"/>
    </row>
    <row r="3" spans="2:5" ht="37.5" customHeight="1">
      <c r="B3" s="38" t="s">
        <v>104</v>
      </c>
      <c r="C3" s="40" t="s">
        <v>128</v>
      </c>
      <c r="D3" s="38" t="s">
        <v>129</v>
      </c>
      <c r="E3" s="38" t="s">
        <v>130</v>
      </c>
    </row>
    <row r="4" spans="2:5" ht="18.75">
      <c r="B4" s="329" t="s">
        <v>188</v>
      </c>
      <c r="C4" s="329"/>
      <c r="D4" s="329"/>
      <c r="E4" s="329"/>
    </row>
    <row r="5" spans="2:5" ht="18.75">
      <c r="B5" s="37">
        <v>1</v>
      </c>
      <c r="C5" s="36" t="s">
        <v>341</v>
      </c>
      <c r="D5" s="37" t="s">
        <v>167</v>
      </c>
      <c r="E5" s="52">
        <v>3.5</v>
      </c>
    </row>
    <row r="6" spans="2:5" ht="18.75">
      <c r="B6" s="37">
        <v>2</v>
      </c>
      <c r="C6" s="36" t="s">
        <v>189</v>
      </c>
      <c r="D6" s="37" t="s">
        <v>167</v>
      </c>
      <c r="E6" s="52">
        <v>5</v>
      </c>
    </row>
    <row r="7" spans="2:5" ht="18.75">
      <c r="B7" s="37">
        <v>3</v>
      </c>
      <c r="C7" s="36" t="s">
        <v>190</v>
      </c>
      <c r="D7" s="37" t="s">
        <v>167</v>
      </c>
      <c r="E7" s="52">
        <v>3.5</v>
      </c>
    </row>
    <row r="8" spans="2:5" ht="18.75">
      <c r="B8" s="37">
        <v>4</v>
      </c>
      <c r="C8" s="36" t="s">
        <v>191</v>
      </c>
      <c r="D8" s="37" t="s">
        <v>167</v>
      </c>
      <c r="E8" s="52">
        <v>4.5</v>
      </c>
    </row>
    <row r="9" spans="2:5" ht="18.75">
      <c r="B9" s="37">
        <v>5</v>
      </c>
      <c r="C9" s="36" t="s">
        <v>192</v>
      </c>
      <c r="D9" s="37" t="s">
        <v>167</v>
      </c>
      <c r="E9" s="52">
        <v>5</v>
      </c>
    </row>
    <row r="10" spans="2:5" ht="18.75">
      <c r="B10" s="37">
        <v>6</v>
      </c>
      <c r="C10" s="36" t="s">
        <v>193</v>
      </c>
      <c r="D10" s="37" t="s">
        <v>167</v>
      </c>
      <c r="E10" s="52">
        <v>4.5</v>
      </c>
    </row>
    <row r="11" spans="2:5" ht="18.75">
      <c r="B11" s="37">
        <v>7</v>
      </c>
      <c r="C11" s="66" t="s">
        <v>278</v>
      </c>
      <c r="D11" s="37" t="s">
        <v>167</v>
      </c>
      <c r="E11" s="52">
        <v>6</v>
      </c>
    </row>
    <row r="12" spans="2:5" ht="18.75">
      <c r="B12" s="37">
        <v>8</v>
      </c>
      <c r="C12" s="36" t="s">
        <v>194</v>
      </c>
      <c r="D12" s="37" t="s">
        <v>167</v>
      </c>
      <c r="E12" s="52">
        <v>4.5</v>
      </c>
    </row>
    <row r="13" spans="2:5" ht="18.75">
      <c r="B13" s="37">
        <v>9</v>
      </c>
      <c r="C13" s="66" t="s">
        <v>279</v>
      </c>
      <c r="D13" s="37" t="s">
        <v>167</v>
      </c>
      <c r="E13" s="52">
        <v>6</v>
      </c>
    </row>
    <row r="14" spans="2:5" ht="18.75">
      <c r="B14" s="37">
        <v>10</v>
      </c>
      <c r="C14" s="36" t="s">
        <v>195</v>
      </c>
      <c r="D14" s="37" t="s">
        <v>167</v>
      </c>
      <c r="E14" s="52">
        <v>5</v>
      </c>
    </row>
    <row r="15" spans="2:5" ht="18.75">
      <c r="B15" s="37">
        <v>11</v>
      </c>
      <c r="C15" s="66" t="s">
        <v>280</v>
      </c>
      <c r="D15" s="37" t="s">
        <v>167</v>
      </c>
      <c r="E15" s="52">
        <v>5</v>
      </c>
    </row>
    <row r="16" spans="2:5" ht="18.75">
      <c r="B16" s="37">
        <v>12</v>
      </c>
      <c r="C16" s="36" t="s">
        <v>196</v>
      </c>
      <c r="D16" s="37" t="s">
        <v>167</v>
      </c>
      <c r="E16" s="52">
        <v>5</v>
      </c>
    </row>
    <row r="17" spans="2:5" ht="18.75">
      <c r="B17" s="37">
        <v>13</v>
      </c>
      <c r="C17" s="36" t="s">
        <v>197</v>
      </c>
      <c r="D17" s="37" t="s">
        <v>167</v>
      </c>
      <c r="E17" s="52">
        <v>5</v>
      </c>
    </row>
    <row r="18" spans="2:5" ht="18.75">
      <c r="B18" s="37">
        <v>14</v>
      </c>
      <c r="C18" s="36" t="s">
        <v>198</v>
      </c>
      <c r="D18" s="37" t="s">
        <v>167</v>
      </c>
      <c r="E18" s="52">
        <v>5</v>
      </c>
    </row>
    <row r="19" spans="2:5" ht="18.75">
      <c r="B19" s="37">
        <v>15</v>
      </c>
      <c r="C19" s="36" t="s">
        <v>199</v>
      </c>
      <c r="D19" s="37" t="s">
        <v>167</v>
      </c>
      <c r="E19" s="52">
        <v>5</v>
      </c>
    </row>
    <row r="20" spans="2:5" ht="18.75">
      <c r="B20" s="37">
        <v>16</v>
      </c>
      <c r="C20" s="36" t="s">
        <v>200</v>
      </c>
      <c r="D20" s="37" t="s">
        <v>167</v>
      </c>
      <c r="E20" s="52">
        <v>7</v>
      </c>
    </row>
    <row r="21" spans="2:5" ht="18.75">
      <c r="B21" s="37">
        <v>17</v>
      </c>
      <c r="C21" s="60" t="s">
        <v>201</v>
      </c>
      <c r="D21" s="37" t="s">
        <v>167</v>
      </c>
      <c r="E21" s="182">
        <v>7.5</v>
      </c>
    </row>
    <row r="22" spans="2:5" ht="18.75">
      <c r="B22" s="37">
        <v>18</v>
      </c>
      <c r="C22" s="36" t="s">
        <v>353</v>
      </c>
      <c r="D22" s="37" t="s">
        <v>167</v>
      </c>
      <c r="E22" s="182">
        <v>6</v>
      </c>
    </row>
    <row r="23" spans="2:5" ht="18.75">
      <c r="B23" s="37">
        <v>19</v>
      </c>
      <c r="C23" s="36" t="s">
        <v>354</v>
      </c>
      <c r="D23" s="37" t="s">
        <v>167</v>
      </c>
      <c r="E23" s="182">
        <v>7</v>
      </c>
    </row>
    <row r="24" spans="2:5" ht="18.75">
      <c r="B24" s="37">
        <v>20</v>
      </c>
      <c r="C24" s="36" t="s">
        <v>202</v>
      </c>
      <c r="D24" s="37" t="s">
        <v>167</v>
      </c>
      <c r="E24" s="52">
        <v>5</v>
      </c>
    </row>
    <row r="25" spans="2:5" ht="18.75">
      <c r="B25" s="37">
        <v>21</v>
      </c>
      <c r="C25" s="36" t="s">
        <v>342</v>
      </c>
      <c r="D25" s="37" t="s">
        <v>167</v>
      </c>
      <c r="E25" s="52">
        <v>6</v>
      </c>
    </row>
    <row r="26" spans="2:5" ht="18.75">
      <c r="B26" s="37">
        <v>22</v>
      </c>
      <c r="C26" s="36" t="s">
        <v>203</v>
      </c>
      <c r="D26" s="37" t="s">
        <v>167</v>
      </c>
      <c r="E26" s="52">
        <v>5.5</v>
      </c>
    </row>
    <row r="27" spans="2:5" ht="18.75">
      <c r="B27" s="37">
        <v>23</v>
      </c>
      <c r="C27" s="36" t="s">
        <v>343</v>
      </c>
      <c r="D27" s="37" t="s">
        <v>167</v>
      </c>
      <c r="E27" s="52">
        <v>5</v>
      </c>
    </row>
    <row r="28" spans="2:5" ht="18.75">
      <c r="B28" s="37">
        <v>24</v>
      </c>
      <c r="C28" s="36" t="s">
        <v>344</v>
      </c>
      <c r="D28" s="37" t="s">
        <v>167</v>
      </c>
      <c r="E28" s="52">
        <v>9</v>
      </c>
    </row>
    <row r="29" spans="2:5" ht="18.75">
      <c r="B29" s="37">
        <v>25</v>
      </c>
      <c r="C29" s="36" t="s">
        <v>345</v>
      </c>
      <c r="D29" s="37" t="s">
        <v>167</v>
      </c>
      <c r="E29" s="52">
        <v>6</v>
      </c>
    </row>
    <row r="30" spans="2:5" ht="18.75">
      <c r="B30" s="37">
        <v>26</v>
      </c>
      <c r="C30" s="36" t="s">
        <v>205</v>
      </c>
      <c r="D30" s="37" t="s">
        <v>167</v>
      </c>
      <c r="E30" s="52">
        <v>5</v>
      </c>
    </row>
    <row r="31" spans="2:5" ht="18.75">
      <c r="B31" s="37">
        <v>27</v>
      </c>
      <c r="C31" s="36" t="s">
        <v>206</v>
      </c>
      <c r="D31" s="37" t="s">
        <v>167</v>
      </c>
      <c r="E31" s="52">
        <v>6</v>
      </c>
    </row>
    <row r="32" spans="2:5" ht="18.75">
      <c r="B32" s="37">
        <v>28</v>
      </c>
      <c r="C32" s="36" t="s">
        <v>246</v>
      </c>
      <c r="D32" s="37" t="s">
        <v>167</v>
      </c>
      <c r="E32" s="52">
        <v>6</v>
      </c>
    </row>
    <row r="33" spans="2:5" ht="18.75">
      <c r="B33" s="37">
        <v>29</v>
      </c>
      <c r="C33" s="36" t="s">
        <v>281</v>
      </c>
      <c r="D33" s="37" t="s">
        <v>167</v>
      </c>
      <c r="E33" s="52">
        <v>6</v>
      </c>
    </row>
    <row r="34" spans="2:5" ht="18.75">
      <c r="B34" s="37">
        <v>30</v>
      </c>
      <c r="C34" s="36" t="s">
        <v>355</v>
      </c>
      <c r="D34" s="37" t="s">
        <v>167</v>
      </c>
      <c r="E34" s="52">
        <v>6</v>
      </c>
    </row>
    <row r="35" spans="2:5" ht="18.75">
      <c r="B35" s="37">
        <v>31</v>
      </c>
      <c r="C35" s="36" t="s">
        <v>346</v>
      </c>
      <c r="D35" s="37" t="s">
        <v>167</v>
      </c>
      <c r="E35" s="52">
        <v>5.5</v>
      </c>
    </row>
    <row r="36" spans="2:5" ht="18.75">
      <c r="B36" s="37">
        <v>32</v>
      </c>
      <c r="C36" s="36" t="s">
        <v>347</v>
      </c>
      <c r="D36" s="37" t="s">
        <v>167</v>
      </c>
      <c r="E36" s="52">
        <v>7.5</v>
      </c>
    </row>
    <row r="37" spans="2:5" ht="18.75">
      <c r="B37" s="37">
        <v>33</v>
      </c>
      <c r="C37" s="67" t="s">
        <v>348</v>
      </c>
      <c r="D37" s="37" t="s">
        <v>167</v>
      </c>
      <c r="E37" s="52">
        <v>7.5</v>
      </c>
    </row>
    <row r="38" spans="2:5" ht="18.75">
      <c r="B38" s="37">
        <v>34</v>
      </c>
      <c r="C38" s="67" t="s">
        <v>349</v>
      </c>
      <c r="D38" s="37" t="s">
        <v>167</v>
      </c>
      <c r="E38" s="52">
        <v>7.5</v>
      </c>
    </row>
    <row r="39" spans="2:5" ht="18.75">
      <c r="B39" s="37">
        <v>35</v>
      </c>
      <c r="C39" s="67" t="s">
        <v>356</v>
      </c>
      <c r="D39" s="37" t="s">
        <v>167</v>
      </c>
      <c r="E39" s="52">
        <v>5</v>
      </c>
    </row>
    <row r="40" spans="2:5" ht="18.75">
      <c r="B40" s="37">
        <v>36</v>
      </c>
      <c r="C40" s="67" t="s">
        <v>357</v>
      </c>
      <c r="D40" s="37" t="s">
        <v>167</v>
      </c>
      <c r="E40" s="52">
        <v>8</v>
      </c>
    </row>
    <row r="41" spans="2:5" ht="37.5" customHeight="1">
      <c r="B41" s="38" t="s">
        <v>104</v>
      </c>
      <c r="C41" s="40" t="s">
        <v>128</v>
      </c>
      <c r="D41" s="38" t="s">
        <v>129</v>
      </c>
      <c r="E41" s="38" t="s">
        <v>130</v>
      </c>
    </row>
    <row r="42" spans="2:5" ht="18.75">
      <c r="B42" s="37">
        <v>37</v>
      </c>
      <c r="C42" s="36" t="s">
        <v>350</v>
      </c>
      <c r="D42" s="37" t="s">
        <v>167</v>
      </c>
      <c r="E42" s="52">
        <v>5.5</v>
      </c>
    </row>
    <row r="43" spans="2:5" ht="18.75">
      <c r="B43" s="37">
        <v>38</v>
      </c>
      <c r="C43" s="36" t="s">
        <v>209</v>
      </c>
      <c r="D43" s="37" t="s">
        <v>167</v>
      </c>
      <c r="E43" s="52">
        <v>7.5</v>
      </c>
    </row>
    <row r="44" spans="2:5" ht="18.75">
      <c r="B44" s="37">
        <v>39</v>
      </c>
      <c r="C44" s="36" t="s">
        <v>210</v>
      </c>
      <c r="D44" s="37" t="s">
        <v>167</v>
      </c>
      <c r="E44" s="52">
        <v>5</v>
      </c>
    </row>
    <row r="45" spans="2:5" ht="18.75">
      <c r="B45" s="37">
        <v>40</v>
      </c>
      <c r="C45" s="36" t="s">
        <v>351</v>
      </c>
      <c r="D45" s="37" t="s">
        <v>167</v>
      </c>
      <c r="E45" s="52">
        <v>4.5</v>
      </c>
    </row>
    <row r="46" spans="2:5" ht="18.75">
      <c r="B46" s="37">
        <v>41</v>
      </c>
      <c r="C46" s="36" t="s">
        <v>352</v>
      </c>
      <c r="D46" s="37" t="s">
        <v>167</v>
      </c>
      <c r="E46" s="52">
        <v>3.5</v>
      </c>
    </row>
  </sheetData>
  <sheetProtection/>
  <mergeCells count="2">
    <mergeCell ref="B1:E1"/>
    <mergeCell ref="B4:E4"/>
  </mergeCells>
  <printOptions/>
  <pageMargins left="0.16" right="0.21" top="0.26" bottom="0.29" header="0.16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2019-12-24T09:55:39Z</cp:lastPrinted>
  <dcterms:created xsi:type="dcterms:W3CDTF">2011-05-31T05:05:10Z</dcterms:created>
  <dcterms:modified xsi:type="dcterms:W3CDTF">2020-01-03T11:31:10Z</dcterms:modified>
  <cp:category/>
  <cp:version/>
  <cp:contentType/>
  <cp:contentStatus/>
</cp:coreProperties>
</file>